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sauvadet\Documents\demandes\Covid 19\garanties de financement\garantie M3M12\"/>
    </mc:Choice>
  </mc:AlternateContent>
  <bookViews>
    <workbookView xWindow="0" yWindow="0" windowWidth="20490" windowHeight="6555" activeTab="1"/>
  </bookViews>
  <sheets>
    <sheet name="cas 1 ex DG" sheetId="1" r:id="rId1"/>
    <sheet name="cas 2 ex DG" sheetId="2" r:id="rId2"/>
    <sheet name="cas 1 ex OQN OQN" sheetId="3" r:id="rId3"/>
    <sheet name="cas 2 ex OQN OQN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B25" i="1"/>
  <c r="C25" i="2" l="1"/>
  <c r="D25" i="2"/>
  <c r="E25" i="2"/>
  <c r="F25" i="2"/>
  <c r="G25" i="2"/>
  <c r="H25" i="2"/>
  <c r="I25" i="2"/>
  <c r="J25" i="2"/>
  <c r="K25" i="2"/>
  <c r="L25" i="2"/>
  <c r="M25" i="2"/>
  <c r="B25" i="2"/>
  <c r="C40" i="2"/>
  <c r="B30" i="1" l="1"/>
  <c r="M23" i="4" l="1"/>
  <c r="M24" i="4" s="1"/>
  <c r="L22" i="4"/>
  <c r="I19" i="4"/>
  <c r="B5" i="4"/>
  <c r="K24" i="4"/>
  <c r="J24" i="4"/>
  <c r="I24" i="4"/>
  <c r="H24" i="4"/>
  <c r="G24" i="4"/>
  <c r="F24" i="4"/>
  <c r="E24" i="4"/>
  <c r="D24" i="4"/>
  <c r="C24" i="4"/>
  <c r="B24" i="4"/>
  <c r="B6" i="4"/>
  <c r="E6" i="4" s="1"/>
  <c r="C24" i="3"/>
  <c r="D24" i="3"/>
  <c r="E24" i="3"/>
  <c r="F24" i="3"/>
  <c r="G24" i="3"/>
  <c r="H24" i="3"/>
  <c r="I24" i="3"/>
  <c r="J24" i="3"/>
  <c r="K24" i="3"/>
  <c r="L24" i="3"/>
  <c r="B24" i="3"/>
  <c r="L22" i="3"/>
  <c r="I19" i="3"/>
  <c r="B5" i="3"/>
  <c r="E5" i="4" l="1"/>
  <c r="L24" i="4"/>
  <c r="B26" i="4" s="1"/>
  <c r="B27" i="4" s="1"/>
  <c r="B6" i="3"/>
  <c r="M23" i="3"/>
  <c r="M24" i="3" s="1"/>
  <c r="B26" i="3" s="1"/>
  <c r="E6" i="3" l="1"/>
  <c r="E5" i="3"/>
  <c r="B27" i="3" s="1"/>
  <c r="M24" i="2"/>
  <c r="L23" i="2"/>
  <c r="I20" i="2"/>
  <c r="B6" i="2"/>
  <c r="B7" i="2" s="1"/>
  <c r="B5" i="2"/>
  <c r="F39" i="2" l="1"/>
  <c r="F38" i="2"/>
  <c r="F36" i="2"/>
  <c r="F35" i="2"/>
  <c r="F34" i="2"/>
  <c r="F33" i="2"/>
  <c r="F32" i="2"/>
  <c r="F31" i="2"/>
  <c r="J30" i="2"/>
  <c r="F30" i="2"/>
  <c r="B30" i="2"/>
  <c r="J29" i="2"/>
  <c r="I29" i="2" s="1"/>
  <c r="F29" i="2"/>
  <c r="B29" i="2"/>
  <c r="J38" i="2"/>
  <c r="K38" i="2" s="1"/>
  <c r="J37" i="2"/>
  <c r="K37" i="2" s="1"/>
  <c r="J35" i="2"/>
  <c r="K35" i="2" s="1"/>
  <c r="J34" i="2"/>
  <c r="K34" i="2" s="1"/>
  <c r="J33" i="2"/>
  <c r="K33" i="2" s="1"/>
  <c r="J32" i="2"/>
  <c r="K32" i="2" s="1"/>
  <c r="J39" i="2"/>
  <c r="K39" i="2" s="1"/>
  <c r="K30" i="2" l="1"/>
  <c r="I30" i="2"/>
  <c r="J31" i="2"/>
  <c r="K31" i="2" s="1"/>
  <c r="G30" i="2"/>
  <c r="J36" i="2"/>
  <c r="K36" i="2" s="1"/>
  <c r="K29" i="2"/>
  <c r="J40" i="2"/>
  <c r="K40" i="2" s="1"/>
  <c r="C37" i="2"/>
  <c r="G29" i="2"/>
  <c r="J41" i="2" l="1"/>
  <c r="E7" i="2"/>
  <c r="E6" i="2"/>
  <c r="E5" i="2"/>
  <c r="E4" i="2"/>
  <c r="I34" i="2" l="1"/>
  <c r="I38" i="2"/>
  <c r="I35" i="2"/>
  <c r="I39" i="2"/>
  <c r="I32" i="2"/>
  <c r="I36" i="2"/>
  <c r="I40" i="2"/>
  <c r="I33" i="2"/>
  <c r="I37" i="2"/>
  <c r="I31" i="2"/>
  <c r="B40" i="2"/>
  <c r="E40" i="2"/>
  <c r="B35" i="2"/>
  <c r="G35" i="2" s="1"/>
  <c r="B31" i="2"/>
  <c r="B34" i="2"/>
  <c r="G34" i="2" s="1"/>
  <c r="B39" i="2"/>
  <c r="G39" i="2" s="1"/>
  <c r="B37" i="2"/>
  <c r="B33" i="2"/>
  <c r="G33" i="2" s="1"/>
  <c r="B38" i="2"/>
  <c r="G38" i="2" s="1"/>
  <c r="B36" i="2"/>
  <c r="G36" i="2" s="1"/>
  <c r="B32" i="2"/>
  <c r="G32" i="2" s="1"/>
  <c r="I41" i="2" l="1"/>
  <c r="D40" i="2"/>
  <c r="F40" i="2" s="1"/>
  <c r="K41" i="2"/>
  <c r="G31" i="2"/>
  <c r="D37" i="2"/>
  <c r="F37" i="2" s="1"/>
  <c r="G37" i="2" s="1"/>
  <c r="F30" i="1" l="1"/>
  <c r="F31" i="1"/>
  <c r="F32" i="1"/>
  <c r="F33" i="1"/>
  <c r="F34" i="1"/>
  <c r="F35" i="1"/>
  <c r="F36" i="1"/>
  <c r="F38" i="1"/>
  <c r="F39" i="1"/>
  <c r="F29" i="1"/>
  <c r="J30" i="1"/>
  <c r="J29" i="1"/>
  <c r="I29" i="1" s="1"/>
  <c r="K30" i="1" l="1"/>
  <c r="I30" i="1"/>
  <c r="K29" i="1"/>
  <c r="L23" i="1"/>
  <c r="M24" i="1" s="1"/>
  <c r="J40" i="1" s="1"/>
  <c r="I20" i="1"/>
  <c r="J33" i="1"/>
  <c r="J34" i="1"/>
  <c r="J35" i="1"/>
  <c r="J36" i="1"/>
  <c r="J37" i="1"/>
  <c r="J38" i="1"/>
  <c r="J39" i="1"/>
  <c r="J31" i="1"/>
  <c r="J32" i="1"/>
  <c r="G30" i="1"/>
  <c r="B29" i="1"/>
  <c r="G29" i="1" s="1"/>
  <c r="B4" i="1"/>
  <c r="B5" i="1" s="1"/>
  <c r="J41" i="1" l="1"/>
  <c r="E5" i="1"/>
  <c r="B33" i="1" s="1"/>
  <c r="G33" i="1" s="1"/>
  <c r="E4" i="1"/>
  <c r="C37" i="1"/>
  <c r="C40" i="1" s="1"/>
  <c r="B6" i="1"/>
  <c r="B7" i="1" s="1"/>
  <c r="B34" i="1" l="1"/>
  <c r="G34" i="1" s="1"/>
  <c r="B39" i="1"/>
  <c r="G39" i="1" s="1"/>
  <c r="B36" i="1"/>
  <c r="G36" i="1" s="1"/>
  <c r="E7" i="1"/>
  <c r="E6" i="1"/>
  <c r="B31" i="1"/>
  <c r="G31" i="1" s="1"/>
  <c r="B35" i="1"/>
  <c r="G35" i="1" s="1"/>
  <c r="B38" i="1"/>
  <c r="G38" i="1" s="1"/>
  <c r="B37" i="1"/>
  <c r="B32" i="1"/>
  <c r="G32" i="1" s="1"/>
  <c r="I35" i="1" l="1"/>
  <c r="I39" i="1"/>
  <c r="I32" i="1"/>
  <c r="I36" i="1"/>
  <c r="I40" i="1"/>
  <c r="I33" i="1"/>
  <c r="I37" i="1"/>
  <c r="I31" i="1"/>
  <c r="I34" i="1"/>
  <c r="I38" i="1"/>
  <c r="D37" i="1"/>
  <c r="F37" i="1" s="1"/>
  <c r="G37" i="1" s="1"/>
  <c r="B40" i="1"/>
  <c r="K34" i="1"/>
  <c r="K38" i="1"/>
  <c r="K35" i="1"/>
  <c r="K39" i="1"/>
  <c r="K32" i="1"/>
  <c r="K36" i="1"/>
  <c r="K40" i="1"/>
  <c r="E40" i="1"/>
  <c r="D40" i="1" s="1"/>
  <c r="F40" i="1" s="1"/>
  <c r="K33" i="1"/>
  <c r="K37" i="1"/>
  <c r="K31" i="1"/>
  <c r="I41" i="1" l="1"/>
  <c r="G40" i="1"/>
  <c r="G41" i="1" s="1"/>
  <c r="K41" i="1"/>
  <c r="G40" i="2"/>
  <c r="G41" i="2" s="1"/>
</calcChain>
</file>

<file path=xl/comments1.xml><?xml version="1.0" encoding="utf-8"?>
<comments xmlns="http://schemas.openxmlformats.org/spreadsheetml/2006/main">
  <authors>
    <author>Véronique SAUVADET-CHOUVY</author>
  </authors>
  <commentList>
    <comment ref="C37" authorId="0" shapeId="0">
      <text>
        <r>
          <rPr>
            <b/>
            <sz val="9"/>
            <color indexed="81"/>
            <rFont val="Tahoma"/>
            <charset val="1"/>
          </rPr>
          <t>Les transmissions des périodes M3 à M9 ont complété les soins de janvier et de février de 3 625€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charset val="1"/>
          </rPr>
          <t>Mise à jour de la garantie de financement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Véronique SAUVADET-CHOUVY</author>
  </authors>
  <commentList>
    <comment ref="C37" authorId="0" shapeId="0">
      <text>
        <r>
          <rPr>
            <b/>
            <sz val="9"/>
            <color indexed="81"/>
            <rFont val="Tahoma"/>
            <charset val="1"/>
          </rPr>
          <t>Les transmissions des périodes M3 à M9 ont complété les soins de janvier et de février de 3 625€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charset val="1"/>
          </rPr>
          <t>Mise à jour de la garantie de financement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<sst xmlns="http://schemas.openxmlformats.org/spreadsheetml/2006/main" count="258" uniqueCount="66">
  <si>
    <t>Mois de sortie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</si>
  <si>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</si>
  <si>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</si>
  <si>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</si>
  <si>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</si>
  <si>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</si>
  <si>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</si>
  <si>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</si>
  <si>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</si>
  <si>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</si>
  <si>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Montant AM</t>
  </si>
  <si>
    <t>Mois de transmission</t>
  </si>
  <si>
    <t>Total</t>
  </si>
  <si>
    <t>Annuel</t>
  </si>
  <si>
    <t>Recettes 2019</t>
  </si>
  <si>
    <t>LAMDA 2019</t>
  </si>
  <si>
    <t>Matrice croisée mois de transmission et mois de soins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</si>
  <si>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</si>
  <si>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</si>
  <si>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</si>
  <si>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</si>
  <si>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</si>
  <si>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</si>
  <si>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</si>
  <si>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</si>
  <si>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</si>
  <si>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</si>
  <si>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</si>
  <si>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</si>
  <si>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Montant notifié de base</t>
  </si>
  <si>
    <t>Compléments au titre des mois de soins M1+M2</t>
  </si>
  <si>
    <t>Montant notifié final</t>
  </si>
  <si>
    <t>Octobre</t>
  </si>
  <si>
    <t>Novembre</t>
  </si>
  <si>
    <t>Décembre</t>
  </si>
  <si>
    <t>Ecart entre la valorisation de l'activité de soins réalisée à partir de mars et la garantie de financement</t>
  </si>
  <si>
    <t xml:space="preserve">Assiette théorique </t>
  </si>
  <si>
    <t>Assiette définitive de la garantie</t>
  </si>
  <si>
    <t>Montant théorique pour la période Mars/décembre</t>
  </si>
  <si>
    <t>Montant théorique mensuel</t>
  </si>
  <si>
    <t>Montant définitif pour la période mars à décembre</t>
  </si>
  <si>
    <t>Montant définitif mensuel</t>
  </si>
  <si>
    <t>Calcul de l'assiette pour la garantie de financement</t>
  </si>
  <si>
    <t>Montant</t>
  </si>
  <si>
    <t>Garantie de financement</t>
  </si>
  <si>
    <t>Mise à jour de la garantie de financement</t>
  </si>
  <si>
    <t>Montant complémentaire</t>
  </si>
  <si>
    <t>Recettes 2020 en date de soins</t>
  </si>
  <si>
    <t>Valorisation de l'activité en date de soins</t>
  </si>
  <si>
    <t xml:space="preserve">Cas théorique correspondant à la garantie de financement </t>
  </si>
  <si>
    <t>Détails des calculs pour les notifications selon les périodes</t>
  </si>
  <si>
    <t>Masses par mois de soins</t>
  </si>
  <si>
    <r>
      <t xml:space="preserve">Cas </t>
    </r>
    <r>
      <rPr>
        <b/>
        <u/>
        <sz val="11"/>
        <color theme="1"/>
        <rFont val="Calibri"/>
        <family val="2"/>
        <scheme val="minor"/>
      </rPr>
      <t>théorique</t>
    </r>
    <r>
      <rPr>
        <sz val="11"/>
        <color theme="1"/>
        <rFont val="Calibri"/>
        <family val="2"/>
        <scheme val="minor"/>
      </rPr>
      <t xml:space="preserve"> correspondant à la garantie de financement </t>
    </r>
  </si>
  <si>
    <r>
      <t xml:space="preserve">Recettes </t>
    </r>
    <r>
      <rPr>
        <b/>
        <u/>
        <sz val="11"/>
        <color theme="1"/>
        <rFont val="Calibri"/>
        <family val="2"/>
        <scheme val="minor"/>
      </rPr>
      <t>perçues</t>
    </r>
    <r>
      <rPr>
        <b/>
        <sz val="11"/>
        <color theme="1"/>
        <rFont val="Calibri"/>
        <family val="2"/>
        <scheme val="minor"/>
      </rPr>
      <t xml:space="preserve"> 2020 en date de soins</t>
    </r>
  </si>
  <si>
    <t>Exemple d’un établissement dont l’activité de soins pour les mois de mars à décembre 2020 est inférieure à la garantie de financement pour la période</t>
  </si>
  <si>
    <t>Exemple d’un établissement dont l’activité de soins pour les mois de mars à décembre 2020 est supérieure à la garantie de financement pour la période</t>
  </si>
  <si>
    <t>Secteur ex OQN, OQN</t>
  </si>
  <si>
    <t>secteur ex DG</t>
  </si>
  <si>
    <t>Recettes 2019 (intégrant les factures émises en 2020)</t>
  </si>
  <si>
    <t>Montant définitif pour la période Mars/décembre</t>
  </si>
  <si>
    <t xml:space="preserve">Assiette pour le calcul de la garantie </t>
  </si>
  <si>
    <t>Montant  mensuel</t>
  </si>
  <si>
    <t>Matrice croisée mois de facturation et mois de soins</t>
  </si>
  <si>
    <t>Mois de facturation</t>
  </si>
  <si>
    <t>Montant des facturations pour les mois de soins mars à décembre</t>
  </si>
  <si>
    <t>Ecart entre la garantie de financement et les facturations pour les mois de soins de mars à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</si>
</sst>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3872AC"/>
      </left>
      <right style="thin">
        <color rgb="FF3872AC"/>
      </right>
      <top style="thin">
        <color rgb="FF3872AC"/>
      </top>
      <bottom style="thin">
        <color rgb="FF3872AC"/>
      </bottom>
      <diagonal/>
    </border>
    <border>
      <left style="thin">
        <color rgb="FF3872AC"/>
      </left>
      <right style="thin">
        <color rgb="FF3872AC"/>
      </right>
      <top style="thin">
        <color rgb="FF3872AC"/>
      </top>
      <bottom/>
      <diagonal/>
    </border>
    <border>
      <left style="thin">
        <color rgb="FF3872AC"/>
      </left>
      <right style="thin">
        <color rgb="FF3872AC"/>
      </right>
      <top/>
      <bottom/>
      <diagonal/>
    </border>
    <border>
      <left style="thin">
        <color rgb="FF3872AC"/>
      </left>
      <right/>
      <top style="thin">
        <color rgb="FF3872AC"/>
      </top>
      <bottom style="thin">
        <color rgb="FF3872AC"/>
      </bottom>
      <diagonal/>
    </border>
    <border>
      <left/>
      <right/>
      <top style="thin">
        <color rgb="FF3872AC"/>
      </top>
      <bottom style="thin">
        <color rgb="FF3872AC"/>
      </bottom>
      <diagonal/>
    </border>
    <border>
      <left/>
      <right style="thin">
        <color rgb="FF3872AC"/>
      </right>
      <top style="thin">
        <color rgb="FF3872AC"/>
      </top>
      <bottom style="thin">
        <color rgb="FF3872A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43" fontId="0" fillId="2" borderId="7" xfId="1" applyFont="1" applyFill="1" applyBorder="1"/>
    <xf numFmtId="43" fontId="0" fillId="2" borderId="9" xfId="1" applyFont="1" applyFill="1" applyBorder="1"/>
    <xf numFmtId="43" fontId="0" fillId="2" borderId="10" xfId="1" applyFont="1" applyFill="1" applyBorder="1"/>
    <xf numFmtId="43" fontId="0" fillId="2" borderId="0" xfId="1" applyFont="1" applyFill="1"/>
    <xf numFmtId="43" fontId="0" fillId="2" borderId="0" xfId="0" applyNumberFormat="1" applyFill="1"/>
    <xf numFmtId="0" fontId="0" fillId="2" borderId="0" xfId="0" applyFill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2" xfId="1" applyFon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0" fillId="2" borderId="11" xfId="1" applyFont="1" applyFill="1" applyBorder="1"/>
    <xf numFmtId="0" fontId="2" fillId="2" borderId="0" xfId="0" applyFont="1" applyFill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4" fontId="0" fillId="0" borderId="0" xfId="0" applyNumberFormat="1"/>
    <xf numFmtId="0" fontId="0" fillId="2" borderId="15" xfId="0" applyFill="1" applyBorder="1" applyAlignment="1">
      <alignment wrapText="1"/>
    </xf>
    <xf numFmtId="43" fontId="0" fillId="2" borderId="15" xfId="1" applyFont="1" applyFill="1" applyBorder="1" applyAlignment="1">
      <alignment wrapText="1"/>
    </xf>
    <xf numFmtId="0" fontId="0" fillId="2" borderId="16" xfId="0" applyFill="1" applyBorder="1"/>
    <xf numFmtId="43" fontId="0" fillId="2" borderId="16" xfId="1" applyFont="1" applyFill="1" applyBorder="1"/>
    <xf numFmtId="43" fontId="0" fillId="2" borderId="16" xfId="0" applyNumberFormat="1" applyFill="1" applyBorder="1"/>
    <xf numFmtId="0" fontId="2" fillId="2" borderId="15" xfId="0" applyFont="1" applyFill="1" applyBorder="1" applyAlignment="1">
      <alignment wrapText="1"/>
    </xf>
    <xf numFmtId="0" fontId="5" fillId="2" borderId="0" xfId="0" applyFont="1" applyFill="1"/>
    <xf numFmtId="0" fontId="0" fillId="2" borderId="0" xfId="0" applyFont="1" applyFill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Montant notifié à</a:t>
            </a:r>
            <a:r>
              <a:rPr lang="fr-FR" baseline="0"/>
              <a:t> chaque période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 1 ex DG'!$B$28</c:f>
              <c:strCache>
                <c:ptCount val="1"/>
                <c:pt idx="0">
                  <c:v>Montant notifié de 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DG'!$B$29:$B$40</c:f>
              <c:numCache>
                <c:formatCode>_(* #,##0.00_);_(* \(#,##0.00\);_(* "-"??_);_(@_)</c:formatCode>
                <c:ptCount val="12"/>
                <c:pt idx="0">
                  <c:v>219725.57</c:v>
                </c:pt>
                <c:pt idx="1">
                  <c:v>209951.74</c:v>
                </c:pt>
                <c:pt idx="2">
                  <c:v>208750</c:v>
                </c:pt>
                <c:pt idx="3">
                  <c:v>208750</c:v>
                </c:pt>
                <c:pt idx="4">
                  <c:v>208750</c:v>
                </c:pt>
                <c:pt idx="5">
                  <c:v>208750</c:v>
                </c:pt>
                <c:pt idx="6">
                  <c:v>208750</c:v>
                </c:pt>
                <c:pt idx="7">
                  <c:v>208750</c:v>
                </c:pt>
                <c:pt idx="8">
                  <c:v>208750</c:v>
                </c:pt>
                <c:pt idx="9">
                  <c:v>208750</c:v>
                </c:pt>
                <c:pt idx="10">
                  <c:v>208750</c:v>
                </c:pt>
                <c:pt idx="11">
                  <c:v>210837.5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2-4058-9081-13B8247F592F}"/>
            </c:ext>
          </c:extLst>
        </c:ser>
        <c:ser>
          <c:idx val="4"/>
          <c:order val="4"/>
          <c:tx>
            <c:strRef>
              <c:f>'cas 1 ex DG'!$F$28</c:f>
              <c:strCache>
                <c:ptCount val="1"/>
                <c:pt idx="0">
                  <c:v>Montant complémentaire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DG'!$F$29:$F$40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3625.0799999999581</c:v>
                </c:pt>
                <c:pt idx="9">
                  <c:v>0</c:v>
                </c:pt>
                <c:pt idx="10">
                  <c:v>0</c:v>
                </c:pt>
                <c:pt idx="11" formatCode="_(* #,##0.00_);_(* \(#,##0.00\);_(* &quot;-&quot;??_);_(@_)">
                  <c:v>21154.140000000072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B2-4058-9081-13B8247F592F}"/>
            </c:ext>
          </c:extLst>
        </c:ser>
        <c:ser>
          <c:idx val="5"/>
          <c:order val="5"/>
          <c:tx>
            <c:strRef>
              <c:f>'cas 1 ex DG'!$G$28</c:f>
              <c:strCache>
                <c:ptCount val="1"/>
                <c:pt idx="0">
                  <c:v>Montant notifié final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DG'!$G$29:$G$40</c:f>
              <c:numCache>
                <c:formatCode>_(* #,##0.00_);_(* \(#,##0.00\);_(* "-"??_);_(@_)</c:formatCode>
                <c:ptCount val="12"/>
                <c:pt idx="0">
                  <c:v>219725.57</c:v>
                </c:pt>
                <c:pt idx="1">
                  <c:v>209951.74</c:v>
                </c:pt>
                <c:pt idx="2">
                  <c:v>208750</c:v>
                </c:pt>
                <c:pt idx="3">
                  <c:v>208750</c:v>
                </c:pt>
                <c:pt idx="4">
                  <c:v>208750</c:v>
                </c:pt>
                <c:pt idx="5">
                  <c:v>208750</c:v>
                </c:pt>
                <c:pt idx="6">
                  <c:v>208750</c:v>
                </c:pt>
                <c:pt idx="7">
                  <c:v>208750</c:v>
                </c:pt>
                <c:pt idx="8">
                  <c:v>212375.07999999996</c:v>
                </c:pt>
                <c:pt idx="9">
                  <c:v>208750</c:v>
                </c:pt>
                <c:pt idx="10">
                  <c:v>208750</c:v>
                </c:pt>
                <c:pt idx="11">
                  <c:v>231991.64000000007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B2-4058-9081-13B8247F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241520"/>
        <c:axId val="2232420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DG'!$C$28</c15:sqref>
                        </c15:formulaRef>
                      </c:ext>
                    </c:extLst>
                    <c:strCache>
                      <c:ptCount val="1"/>
                      <c:pt idx="0">
                        <c:v>Compléments au titre des mois de soins M1+M2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1 ex DG'!$C$29:$C$40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8">
                        <c:v>3625.0799999999581</c:v>
                      </c:pt>
                      <c:pt idx="11">
                        <c:v>2366.6400000000722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B3B2-4058-9081-13B8247F592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DG'!$E$28</c15:sqref>
                        </c15:formulaRef>
                      </c:ext>
                    </c:extLst>
                    <c:strCache>
                      <c:ptCount val="1"/>
                      <c:pt idx="0">
                        <c:v>Mise à jour de la garantie de financement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DG'!$E$29:$E$40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1" formatCode="_(* #,##0.00_);_(* \(#,##0.00\);_(* &quot;-&quot;??_);_(@_)">
                        <c:v>18787.5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B3B2-4058-9081-13B8247F592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DG'!$H$28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DG'!$H$29:$H$40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B3B2-4058-9081-13B8247F592F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241520"/>
        <c:axId val="2232420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DG'!$D$28</c15:sqref>
                        </c15:formulaRef>
                      </c:ext>
                    </c:extLst>
                    <c:strCache>
                      <c:ptCount val="1"/>
                      <c:pt idx="0">
                        <c:v>Ecart entre la valorisation de l'activité de soins réalisée à partir de mars et la garantie de financement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1 ex DG'!$D$29:$D$40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8" formatCode="_(* #,##0.00_);_(* \(#,##0.00\);_(* &quot;-&quot;??_);_(@_)">
                        <c:v>-119935.30000000005</c:v>
                      </c:pt>
                      <c:pt idx="11" formatCode="_(* #,##0.00_);_(* \(#,##0.00\);_(* &quot;-&quot;??_);_(@_)">
                        <c:v>-47128.299999999814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B3B2-4058-9081-13B8247F592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DG'!$J$28</c15:sqref>
                        </c15:formulaRef>
                      </c:ext>
                    </c:extLst>
                    <c:strCache>
                      <c:ptCount val="1"/>
                      <c:pt idx="0">
                        <c:v>Valorisation de l'activité en date de soins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DG'!$J$29:$J$40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220023.07</c:v>
                      </c:pt>
                      <c:pt idx="1">
                        <c:v>215645.96000000002</c:v>
                      </c:pt>
                      <c:pt idx="2">
                        <c:v>203111.69999999998</c:v>
                      </c:pt>
                      <c:pt idx="3">
                        <c:v>181091.19</c:v>
                      </c:pt>
                      <c:pt idx="4">
                        <c:v>182011.6</c:v>
                      </c:pt>
                      <c:pt idx="5">
                        <c:v>184058.45</c:v>
                      </c:pt>
                      <c:pt idx="6">
                        <c:v>203487.48</c:v>
                      </c:pt>
                      <c:pt idx="7">
                        <c:v>213859.12000000002</c:v>
                      </c:pt>
                      <c:pt idx="8">
                        <c:v>219528.87</c:v>
                      </c:pt>
                      <c:pt idx="9">
                        <c:v>221533.55</c:v>
                      </c:pt>
                      <c:pt idx="10">
                        <c:v>224260.19</c:v>
                      </c:pt>
                      <c:pt idx="11">
                        <c:v>228304.55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B3B2-4058-9081-13B8247F592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DG'!$K$28</c15:sqref>
                        </c15:formulaRef>
                      </c:ext>
                    </c:extLst>
                    <c:strCache>
                      <c:ptCount val="1"/>
                      <c:pt idx="0">
                        <c:v>Recettes perçues 2020 en date de soins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DG'!$K$29:$K$40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220023.07</c:v>
                      </c:pt>
                      <c:pt idx="1">
                        <c:v>215645.96000000002</c:v>
                      </c:pt>
                      <c:pt idx="2">
                        <c:v>210837.5</c:v>
                      </c:pt>
                      <c:pt idx="3">
                        <c:v>210837.5</c:v>
                      </c:pt>
                      <c:pt idx="4">
                        <c:v>210837.5</c:v>
                      </c:pt>
                      <c:pt idx="5">
                        <c:v>210837.5</c:v>
                      </c:pt>
                      <c:pt idx="6">
                        <c:v>210837.5</c:v>
                      </c:pt>
                      <c:pt idx="7">
                        <c:v>210837.5</c:v>
                      </c:pt>
                      <c:pt idx="8">
                        <c:v>210837.5</c:v>
                      </c:pt>
                      <c:pt idx="9">
                        <c:v>210837.5</c:v>
                      </c:pt>
                      <c:pt idx="10">
                        <c:v>210837.5</c:v>
                      </c:pt>
                      <c:pt idx="11">
                        <c:v>210837.5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B3B2-4058-9081-13B8247F592F}"/>
                  </c:ext>
                </c:extLst>
              </c15:ser>
            </c15:filteredBarSeries>
          </c:ext>
        </c:extLst>
      </c:barChart>
      <c:catAx>
        <c:axId val="22324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3242080"/>
        <c:crosses val="autoZero"/>
        <c:auto val="1"/>
        <c:lblAlgn val="ctr"/>
        <c:lblOffset val="100"/>
        <c:noMultiLvlLbl val="0"/>
      </c:catAx>
      <c:valAx>
        <c:axId val="2232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324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Montants en mois</a:t>
            </a:r>
            <a:r>
              <a:rPr lang="fr-FR" baseline="0"/>
              <a:t> de soins </a:t>
            </a:r>
            <a:r>
              <a:rPr lang="fr-FR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'cas 1 ex DG'!$I$28</c:f>
              <c:strCache>
                <c:ptCount val="1"/>
                <c:pt idx="0">
                  <c:v>Cas théorique correspondant à la garantie de financement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DG'!$I$29:$I$40</c:f>
              <c:numCache>
                <c:formatCode>_(* #,##0.00_);_(* \(#,##0.00\);_(* "-"??_);_(@_)</c:formatCode>
                <c:ptCount val="12"/>
                <c:pt idx="0">
                  <c:v>220023.07</c:v>
                </c:pt>
                <c:pt idx="1">
                  <c:v>215645.96000000002</c:v>
                </c:pt>
                <c:pt idx="2">
                  <c:v>210837.5</c:v>
                </c:pt>
                <c:pt idx="3">
                  <c:v>210837.5</c:v>
                </c:pt>
                <c:pt idx="4">
                  <c:v>210837.5</c:v>
                </c:pt>
                <c:pt idx="5">
                  <c:v>210837.5</c:v>
                </c:pt>
                <c:pt idx="6">
                  <c:v>210837.5</c:v>
                </c:pt>
                <c:pt idx="7">
                  <c:v>210837.5</c:v>
                </c:pt>
                <c:pt idx="8">
                  <c:v>210837.5</c:v>
                </c:pt>
                <c:pt idx="9">
                  <c:v>210837.5</c:v>
                </c:pt>
                <c:pt idx="10">
                  <c:v>210837.5</c:v>
                </c:pt>
                <c:pt idx="11">
                  <c:v>210837.5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6-4A59-B3FC-95D7DDD61FCB}"/>
            </c:ext>
          </c:extLst>
        </c:ser>
        <c:ser>
          <c:idx val="8"/>
          <c:order val="8"/>
          <c:tx>
            <c:strRef>
              <c:f>'cas 1 ex DG'!$J$28</c:f>
              <c:strCache>
                <c:ptCount val="1"/>
                <c:pt idx="0">
                  <c:v>Valorisation de l'activité en date de soins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DG'!$J$29:$J$40</c:f>
              <c:numCache>
                <c:formatCode>_(* #,##0.00_);_(* \(#,##0.00\);_(* "-"??_);_(@_)</c:formatCode>
                <c:ptCount val="12"/>
                <c:pt idx="0">
                  <c:v>220023.07</c:v>
                </c:pt>
                <c:pt idx="1">
                  <c:v>215645.96000000002</c:v>
                </c:pt>
                <c:pt idx="2">
                  <c:v>203111.69999999998</c:v>
                </c:pt>
                <c:pt idx="3">
                  <c:v>181091.19</c:v>
                </c:pt>
                <c:pt idx="4">
                  <c:v>182011.6</c:v>
                </c:pt>
                <c:pt idx="5">
                  <c:v>184058.45</c:v>
                </c:pt>
                <c:pt idx="6">
                  <c:v>203487.48</c:v>
                </c:pt>
                <c:pt idx="7">
                  <c:v>213859.12000000002</c:v>
                </c:pt>
                <c:pt idx="8">
                  <c:v>219528.87</c:v>
                </c:pt>
                <c:pt idx="9">
                  <c:v>221533.55</c:v>
                </c:pt>
                <c:pt idx="10">
                  <c:v>224260.19</c:v>
                </c:pt>
                <c:pt idx="11">
                  <c:v>228304.55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6-4A59-B3FC-95D7DDD61FCB}"/>
            </c:ext>
          </c:extLst>
        </c:ser>
        <c:ser>
          <c:idx val="9"/>
          <c:order val="9"/>
          <c:tx>
            <c:strRef>
              <c:f>'cas 1 ex DG'!$K$28</c:f>
              <c:strCache>
                <c:ptCount val="1"/>
                <c:pt idx="0">
                  <c:v>Recettes perçues 2020 en date de soins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1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1 ex DG'!$K$29:$K$40</c:f>
              <c:numCache>
                <c:formatCode>_(* #,##0.00_);_(* \(#,##0.00\);_(* "-"??_);_(@_)</c:formatCode>
                <c:ptCount val="12"/>
                <c:pt idx="0">
                  <c:v>220023.07</c:v>
                </c:pt>
                <c:pt idx="1">
                  <c:v>215645.96000000002</c:v>
                </c:pt>
                <c:pt idx="2">
                  <c:v>210837.5</c:v>
                </c:pt>
                <c:pt idx="3">
                  <c:v>210837.5</c:v>
                </c:pt>
                <c:pt idx="4">
                  <c:v>210837.5</c:v>
                </c:pt>
                <c:pt idx="5">
                  <c:v>210837.5</c:v>
                </c:pt>
                <c:pt idx="6">
                  <c:v>210837.5</c:v>
                </c:pt>
                <c:pt idx="7">
                  <c:v>210837.5</c:v>
                </c:pt>
                <c:pt idx="8">
                  <c:v>210837.5</c:v>
                </c:pt>
                <c:pt idx="9">
                  <c:v>210837.5</c:v>
                </c:pt>
                <c:pt idx="10">
                  <c:v>210837.5</c:v>
                </c:pt>
                <c:pt idx="11">
                  <c:v>210837.5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16-4A59-B3FC-95D7DDD6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31552"/>
        <c:axId val="2234321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DG'!$B$28</c15:sqref>
                        </c15:formulaRef>
                      </c:ext>
                    </c:extLst>
                    <c:strCache>
                      <c:ptCount val="1"/>
                      <c:pt idx="0">
                        <c:v>Montant notifié de base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1 ex DG'!$B$29:$B$40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219725.57</c:v>
                      </c:pt>
                      <c:pt idx="1">
                        <c:v>209951.74</c:v>
                      </c:pt>
                      <c:pt idx="2">
                        <c:v>208750</c:v>
                      </c:pt>
                      <c:pt idx="3">
                        <c:v>208750</c:v>
                      </c:pt>
                      <c:pt idx="4">
                        <c:v>208750</c:v>
                      </c:pt>
                      <c:pt idx="5">
                        <c:v>208750</c:v>
                      </c:pt>
                      <c:pt idx="6">
                        <c:v>208750</c:v>
                      </c:pt>
                      <c:pt idx="7">
                        <c:v>208750</c:v>
                      </c:pt>
                      <c:pt idx="8">
                        <c:v>208750</c:v>
                      </c:pt>
                      <c:pt idx="9">
                        <c:v>208750</c:v>
                      </c:pt>
                      <c:pt idx="10">
                        <c:v>208750</c:v>
                      </c:pt>
                      <c:pt idx="11">
                        <c:v>210837.5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116-4A59-B3FC-95D7DDD61FC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DG'!$C$28</c15:sqref>
                        </c15:formulaRef>
                      </c:ext>
                    </c:extLst>
                    <c:strCache>
                      <c:ptCount val="1"/>
                      <c:pt idx="0">
                        <c:v>Compléments au titre des mois de soins M1+M2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DG'!$C$29:$C$40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8">
                        <c:v>3625.0799999999581</c:v>
                      </c:pt>
                      <c:pt idx="11">
                        <c:v>2366.6400000000722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116-4A59-B3FC-95D7DDD61FC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DG'!$D$28</c15:sqref>
                        </c15:formulaRef>
                      </c:ext>
                    </c:extLst>
                    <c:strCache>
                      <c:ptCount val="1"/>
                      <c:pt idx="0">
                        <c:v>Ecart entre la valorisation de l'activité de soins réalisée à partir de mars et la garantie de financement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DG'!$D$29:$D$40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8" formatCode="_(* #,##0.00_);_(* \(#,##0.00\);_(* &quot;-&quot;??_);_(@_)">
                        <c:v>-119935.30000000005</c:v>
                      </c:pt>
                      <c:pt idx="11" formatCode="_(* #,##0.00_);_(* \(#,##0.00\);_(* &quot;-&quot;??_);_(@_)">
                        <c:v>-47128.299999999814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116-4A59-B3FC-95D7DDD61FC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DG'!$E$28</c15:sqref>
                        </c15:formulaRef>
                      </c:ext>
                    </c:extLst>
                    <c:strCache>
                      <c:ptCount val="1"/>
                      <c:pt idx="0">
                        <c:v>Mise à jour de la garantie de financement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DG'!$E$29:$E$40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1" formatCode="_(* #,##0.00_);_(* \(#,##0.00\);_(* &quot;-&quot;??_);_(@_)">
                        <c:v>18787.5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8116-4A59-B3FC-95D7DDD61FC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DG'!$F$28</c15:sqref>
                        </c15:formulaRef>
                      </c:ext>
                    </c:extLst>
                    <c:strCache>
                      <c:ptCount val="1"/>
                      <c:pt idx="0">
                        <c:v>Montant complémentaire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DG'!$F$29:$F$40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 formatCode="_(* #,##0.00_);_(* \(#,##0.00\);_(* &quot;-&quot;??_);_(@_)">
                        <c:v>3625.0799999999581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 formatCode="_(* #,##0.00_);_(* \(#,##0.00\);_(* &quot;-&quot;??_);_(@_)">
                        <c:v>21154.140000000072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8116-4A59-B3FC-95D7DDD61FC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DG'!$G$28</c15:sqref>
                        </c15:formulaRef>
                      </c:ext>
                    </c:extLst>
                    <c:strCache>
                      <c:ptCount val="1"/>
                      <c:pt idx="0">
                        <c:v>Montant notifié final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DG'!$G$29:$G$40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219725.57</c:v>
                      </c:pt>
                      <c:pt idx="1">
                        <c:v>209951.74</c:v>
                      </c:pt>
                      <c:pt idx="2">
                        <c:v>208750</c:v>
                      </c:pt>
                      <c:pt idx="3">
                        <c:v>208750</c:v>
                      </c:pt>
                      <c:pt idx="4">
                        <c:v>208750</c:v>
                      </c:pt>
                      <c:pt idx="5">
                        <c:v>208750</c:v>
                      </c:pt>
                      <c:pt idx="6">
                        <c:v>208750</c:v>
                      </c:pt>
                      <c:pt idx="7">
                        <c:v>208750</c:v>
                      </c:pt>
                      <c:pt idx="8">
                        <c:v>212375.07999999996</c:v>
                      </c:pt>
                      <c:pt idx="9">
                        <c:v>208750</c:v>
                      </c:pt>
                      <c:pt idx="10">
                        <c:v>208750</c:v>
                      </c:pt>
                      <c:pt idx="11">
                        <c:v>231991.64000000007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8116-4A59-B3FC-95D7DDD61FC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DG'!$H$28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1 ex DG'!$H$29:$H$40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8116-4A59-B3FC-95D7DDD61FCB}"/>
                  </c:ext>
                </c:extLst>
              </c15:ser>
            </c15:filteredBarSeries>
          </c:ext>
        </c:extLst>
      </c:barChart>
      <c:catAx>
        <c:axId val="2234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3432112"/>
        <c:crosses val="autoZero"/>
        <c:auto val="1"/>
        <c:lblAlgn val="ctr"/>
        <c:lblOffset val="100"/>
        <c:noMultiLvlLbl val="0"/>
      </c:catAx>
      <c:valAx>
        <c:axId val="22343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343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Montant notifié à</a:t>
            </a:r>
            <a:r>
              <a:rPr lang="fr-FR" baseline="0"/>
              <a:t> chaque période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 2 ex DG'!$B$28</c:f>
              <c:strCache>
                <c:ptCount val="1"/>
                <c:pt idx="0">
                  <c:v>Montant notifié de 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DG'!$B$29:$B$40</c:f>
              <c:numCache>
                <c:formatCode>_(* #,##0.00_);_(* \(#,##0.00\);_(* "-"??_);_(@_)</c:formatCode>
                <c:ptCount val="12"/>
                <c:pt idx="0">
                  <c:v>202113.41</c:v>
                </c:pt>
                <c:pt idx="1">
                  <c:v>209581.43000000002</c:v>
                </c:pt>
                <c:pt idx="2">
                  <c:v>214595</c:v>
                </c:pt>
                <c:pt idx="3">
                  <c:v>214595</c:v>
                </c:pt>
                <c:pt idx="4">
                  <c:v>214595</c:v>
                </c:pt>
                <c:pt idx="5">
                  <c:v>214595</c:v>
                </c:pt>
                <c:pt idx="6">
                  <c:v>214595</c:v>
                </c:pt>
                <c:pt idx="7">
                  <c:v>214595</c:v>
                </c:pt>
                <c:pt idx="8">
                  <c:v>214595</c:v>
                </c:pt>
                <c:pt idx="9">
                  <c:v>214595</c:v>
                </c:pt>
                <c:pt idx="10">
                  <c:v>214595</c:v>
                </c:pt>
                <c:pt idx="11">
                  <c:v>216740.94999999998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F8-4611-8BE3-14B4636A5E04}"/>
            </c:ext>
          </c:extLst>
        </c:ser>
        <c:ser>
          <c:idx val="4"/>
          <c:order val="4"/>
          <c:tx>
            <c:strRef>
              <c:f>'cas 2 ex DG'!$F$28</c:f>
              <c:strCache>
                <c:ptCount val="1"/>
                <c:pt idx="0">
                  <c:v>Montant complémentaire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DG'!$F$29:$F$40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2591.5300000000279</c:v>
                </c:pt>
                <c:pt idx="9">
                  <c:v>0</c:v>
                </c:pt>
                <c:pt idx="10">
                  <c:v>0</c:v>
                </c:pt>
                <c:pt idx="11">
                  <c:v>120306.11999999994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F8-4611-8BE3-14B4636A5E04}"/>
            </c:ext>
          </c:extLst>
        </c:ser>
        <c:ser>
          <c:idx val="5"/>
          <c:order val="5"/>
          <c:tx>
            <c:strRef>
              <c:f>'cas 2 ex DG'!$G$28</c:f>
              <c:strCache>
                <c:ptCount val="1"/>
                <c:pt idx="0">
                  <c:v>Montant notifié final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DG'!$G$29:$G$40</c:f>
              <c:numCache>
                <c:formatCode>_(* #,##0.00_);_(* \(#,##0.00\);_(* "-"??_);_(@_)</c:formatCode>
                <c:ptCount val="12"/>
                <c:pt idx="0">
                  <c:v>202113.41</c:v>
                </c:pt>
                <c:pt idx="1">
                  <c:v>209581.43000000002</c:v>
                </c:pt>
                <c:pt idx="2">
                  <c:v>214595</c:v>
                </c:pt>
                <c:pt idx="3">
                  <c:v>214595</c:v>
                </c:pt>
                <c:pt idx="4">
                  <c:v>214595</c:v>
                </c:pt>
                <c:pt idx="5">
                  <c:v>214595</c:v>
                </c:pt>
                <c:pt idx="6">
                  <c:v>214595</c:v>
                </c:pt>
                <c:pt idx="7">
                  <c:v>214595</c:v>
                </c:pt>
                <c:pt idx="8">
                  <c:v>217186.53000000003</c:v>
                </c:pt>
                <c:pt idx="9">
                  <c:v>214595</c:v>
                </c:pt>
                <c:pt idx="10">
                  <c:v>214595</c:v>
                </c:pt>
                <c:pt idx="11">
                  <c:v>337047.06999999995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F8-4611-8BE3-14B4636A5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21280"/>
        <c:axId val="2241218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DG'!$C$28</c15:sqref>
                        </c15:formulaRef>
                      </c:ext>
                    </c:extLst>
                    <c:strCache>
                      <c:ptCount val="1"/>
                      <c:pt idx="0">
                        <c:v>Compléments au titre des mois de soins M1+M2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2 ex DG'!$C$29:$C$40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8">
                        <c:v>2591.5300000000279</c:v>
                      </c:pt>
                      <c:pt idx="11">
                        <c:v>1869.6399999999558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78F8-4611-8BE3-14B4636A5E0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DG'!$E$28</c15:sqref>
                        </c15:formulaRef>
                      </c:ext>
                    </c:extLst>
                    <c:strCache>
                      <c:ptCount val="1"/>
                      <c:pt idx="0">
                        <c:v>Mise à jour de la garantie de financement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DG'!$E$29:$E$40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1" formatCode="_(* #,##0.00_);_(* \(#,##0.00\);_(* &quot;-&quot;??_);_(@_)">
                        <c:v>19313.549999999814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78F8-4611-8BE3-14B4636A5E0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DG'!$H$28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DG'!$H$29:$H$40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78F8-4611-8BE3-14B4636A5E04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21280"/>
        <c:axId val="2241218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DG'!$D$28</c15:sqref>
                        </c15:formulaRef>
                      </c:ext>
                    </c:extLst>
                    <c:strCache>
                      <c:ptCount val="1"/>
                      <c:pt idx="0">
                        <c:v>Ecart entre la valorisation de l'activité de soins réalisée à partir de mars et la garantie de financement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2 ex DG'!$D$29:$D$40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8" formatCode="_(* #,##0.00_);_(* \(#,##0.00\);_(* &quot;-&quot;??_);_(@_)">
                        <c:v>-23578.739999999991</c:v>
                      </c:pt>
                      <c:pt idx="11" formatCode="_(* #,##0.00_);_(* \(#,##0.00\);_(* &quot;-&quot;??_);_(@_)">
                        <c:v>99122.930000000168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78F8-4611-8BE3-14B4636A5E0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DG'!$J$28</c15:sqref>
                        </c15:formulaRef>
                      </c:ext>
                    </c:extLst>
                    <c:strCache>
                      <c:ptCount val="1"/>
                      <c:pt idx="0">
                        <c:v>Valorisation de l'activité en date de soins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DG'!$J$29:$J$40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203692.64</c:v>
                      </c:pt>
                      <c:pt idx="1">
                        <c:v>212463.37000000002</c:v>
                      </c:pt>
                      <c:pt idx="2">
                        <c:v>181282.72999999998</c:v>
                      </c:pt>
                      <c:pt idx="3">
                        <c:v>181091.19</c:v>
                      </c:pt>
                      <c:pt idx="4">
                        <c:v>181918.95</c:v>
                      </c:pt>
                      <c:pt idx="5">
                        <c:v>254158.45</c:v>
                      </c:pt>
                      <c:pt idx="6">
                        <c:v>235092.91</c:v>
                      </c:pt>
                      <c:pt idx="7">
                        <c:v>237098.67</c:v>
                      </c:pt>
                      <c:pt idx="8">
                        <c:v>256956.34</c:v>
                      </c:pt>
                      <c:pt idx="9">
                        <c:v>253533.55</c:v>
                      </c:pt>
                      <c:pt idx="10">
                        <c:v>250329.64</c:v>
                      </c:pt>
                      <c:pt idx="11">
                        <c:v>235070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78F8-4611-8BE3-14B4636A5E0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DG'!$K$28</c15:sqref>
                        </c15:formulaRef>
                      </c:ext>
                    </c:extLst>
                    <c:strCache>
                      <c:ptCount val="1"/>
                      <c:pt idx="0">
                        <c:v>Recettes 2020 en date de soins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DG'!$K$29:$K$40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203692.64</c:v>
                      </c:pt>
                      <c:pt idx="1">
                        <c:v>212463.37000000002</c:v>
                      </c:pt>
                      <c:pt idx="2">
                        <c:v>181282.72999999998</c:v>
                      </c:pt>
                      <c:pt idx="3">
                        <c:v>181091.19</c:v>
                      </c:pt>
                      <c:pt idx="4">
                        <c:v>181918.95</c:v>
                      </c:pt>
                      <c:pt idx="5">
                        <c:v>254158.45</c:v>
                      </c:pt>
                      <c:pt idx="6">
                        <c:v>235092.91</c:v>
                      </c:pt>
                      <c:pt idx="7">
                        <c:v>237098.67</c:v>
                      </c:pt>
                      <c:pt idx="8">
                        <c:v>256956.34</c:v>
                      </c:pt>
                      <c:pt idx="9">
                        <c:v>253533.55</c:v>
                      </c:pt>
                      <c:pt idx="10">
                        <c:v>250329.64</c:v>
                      </c:pt>
                      <c:pt idx="11">
                        <c:v>235070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78F8-4611-8BE3-14B4636A5E04}"/>
                  </c:ext>
                </c:extLst>
              </c15:ser>
            </c15:filteredBarSeries>
          </c:ext>
        </c:extLst>
      </c:barChart>
      <c:catAx>
        <c:axId val="2241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121840"/>
        <c:crosses val="autoZero"/>
        <c:auto val="1"/>
        <c:lblAlgn val="ctr"/>
        <c:lblOffset val="100"/>
        <c:noMultiLvlLbl val="0"/>
      </c:catAx>
      <c:valAx>
        <c:axId val="22412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12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Montants en mois</a:t>
            </a:r>
            <a:r>
              <a:rPr lang="fr-FR" baseline="0"/>
              <a:t> de soins </a:t>
            </a:r>
            <a:r>
              <a:rPr lang="fr-FR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'cas 2 ex DG'!$I$28</c:f>
              <c:strCache>
                <c:ptCount val="1"/>
                <c:pt idx="0">
                  <c:v>Cas théorique correspondant à la garantie de financement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DG'!$I$29:$I$40</c:f>
              <c:numCache>
                <c:formatCode>_(* #,##0.00_);_(* \(#,##0.00\);_(* "-"??_);_(@_)</c:formatCode>
                <c:ptCount val="12"/>
                <c:pt idx="0">
                  <c:v>203692.64</c:v>
                </c:pt>
                <c:pt idx="1">
                  <c:v>212463.37000000002</c:v>
                </c:pt>
                <c:pt idx="2">
                  <c:v>216740.94999999998</c:v>
                </c:pt>
                <c:pt idx="3">
                  <c:v>216740.94999999998</c:v>
                </c:pt>
                <c:pt idx="4">
                  <c:v>216740.94999999998</c:v>
                </c:pt>
                <c:pt idx="5">
                  <c:v>216740.94999999998</c:v>
                </c:pt>
                <c:pt idx="6">
                  <c:v>216740.94999999998</c:v>
                </c:pt>
                <c:pt idx="7">
                  <c:v>216740.94999999998</c:v>
                </c:pt>
                <c:pt idx="8">
                  <c:v>216740.94999999998</c:v>
                </c:pt>
                <c:pt idx="9">
                  <c:v>216740.94999999998</c:v>
                </c:pt>
                <c:pt idx="10">
                  <c:v>216740.94999999998</c:v>
                </c:pt>
                <c:pt idx="11">
                  <c:v>216740.94999999998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22-4914-B197-60ECF3BF036E}"/>
            </c:ext>
          </c:extLst>
        </c:ser>
        <c:ser>
          <c:idx val="8"/>
          <c:order val="8"/>
          <c:tx>
            <c:strRef>
              <c:f>'cas 2 ex DG'!$J$28</c:f>
              <c:strCache>
                <c:ptCount val="1"/>
                <c:pt idx="0">
                  <c:v>Valorisation de l'activité en date de soins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DG'!$J$29:$J$40</c:f>
              <c:numCache>
                <c:formatCode>_(* #,##0.00_);_(* \(#,##0.00\);_(* "-"??_);_(@_)</c:formatCode>
                <c:ptCount val="12"/>
                <c:pt idx="0">
                  <c:v>203692.64</c:v>
                </c:pt>
                <c:pt idx="1">
                  <c:v>212463.37000000002</c:v>
                </c:pt>
                <c:pt idx="2">
                  <c:v>181282.72999999998</c:v>
                </c:pt>
                <c:pt idx="3">
                  <c:v>181091.19</c:v>
                </c:pt>
                <c:pt idx="4">
                  <c:v>181918.95</c:v>
                </c:pt>
                <c:pt idx="5">
                  <c:v>254158.45</c:v>
                </c:pt>
                <c:pt idx="6">
                  <c:v>235092.91</c:v>
                </c:pt>
                <c:pt idx="7">
                  <c:v>237098.67</c:v>
                </c:pt>
                <c:pt idx="8">
                  <c:v>256956.34</c:v>
                </c:pt>
                <c:pt idx="9">
                  <c:v>253533.55</c:v>
                </c:pt>
                <c:pt idx="10">
                  <c:v>250329.64</c:v>
                </c:pt>
                <c:pt idx="11">
                  <c:v>235070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22-4914-B197-60ECF3BF036E}"/>
            </c:ext>
          </c:extLst>
        </c:ser>
        <c:ser>
          <c:idx val="9"/>
          <c:order val="9"/>
          <c:tx>
            <c:strRef>
              <c:f>'cas 2 ex DG'!$K$28</c:f>
              <c:strCache>
                <c:ptCount val="1"/>
                <c:pt idx="0">
                  <c:v>Recettes 2020 en date de soins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 2 ex DG'!$A$29:$A$40</c:f>
              <c:strCache>
                <c:ptCount val="1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</c:strCache>
            </c:strRef>
          </c:cat>
          <c:val>
            <c:numRef>
              <c:f>'cas 2 ex DG'!$K$29:$K$40</c:f>
              <c:numCache>
                <c:formatCode>_(* #,##0.00_);_(* \(#,##0.00\);_(* "-"??_);_(@_)</c:formatCode>
                <c:ptCount val="12"/>
                <c:pt idx="0">
                  <c:v>203692.64</c:v>
                </c:pt>
                <c:pt idx="1">
                  <c:v>212463.37000000002</c:v>
                </c:pt>
                <c:pt idx="2">
                  <c:v>181282.72999999998</c:v>
                </c:pt>
                <c:pt idx="3">
                  <c:v>181091.19</c:v>
                </c:pt>
                <c:pt idx="4">
                  <c:v>181918.95</c:v>
                </c:pt>
                <c:pt idx="5">
                  <c:v>254158.45</c:v>
                </c:pt>
                <c:pt idx="6">
                  <c:v>235092.91</c:v>
                </c:pt>
                <c:pt idx="7">
                  <c:v>237098.67</c:v>
                </c:pt>
                <c:pt idx="8">
                  <c:v>256956.34</c:v>
                </c:pt>
                <c:pt idx="9">
                  <c:v>253533.55</c:v>
                </c:pt>
                <c:pt idx="10">
                  <c:v>250329.64</c:v>
                </c:pt>
                <c:pt idx="11">
                  <c:v>235070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22-4914-B197-60ECF3BF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252304"/>
        <c:axId val="2242528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DG'!$B$28</c15:sqref>
                        </c15:formulaRef>
                      </c:ext>
                    </c:extLst>
                    <c:strCache>
                      <c:ptCount val="1"/>
                      <c:pt idx="0">
                        <c:v>Montant notifié de base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'cas 2 ex DG'!$B$29:$B$40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202113.41</c:v>
                      </c:pt>
                      <c:pt idx="1">
                        <c:v>209581.43000000002</c:v>
                      </c:pt>
                      <c:pt idx="2">
                        <c:v>214595</c:v>
                      </c:pt>
                      <c:pt idx="3">
                        <c:v>214595</c:v>
                      </c:pt>
                      <c:pt idx="4">
                        <c:v>214595</c:v>
                      </c:pt>
                      <c:pt idx="5">
                        <c:v>214595</c:v>
                      </c:pt>
                      <c:pt idx="6">
                        <c:v>214595</c:v>
                      </c:pt>
                      <c:pt idx="7">
                        <c:v>214595</c:v>
                      </c:pt>
                      <c:pt idx="8">
                        <c:v>214595</c:v>
                      </c:pt>
                      <c:pt idx="9">
                        <c:v>214595</c:v>
                      </c:pt>
                      <c:pt idx="10">
                        <c:v>214595</c:v>
                      </c:pt>
                      <c:pt idx="11">
                        <c:v>216740.94999999998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9A22-4914-B197-60ECF3BF036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DG'!$C$28</c15:sqref>
                        </c15:formulaRef>
                      </c:ext>
                    </c:extLst>
                    <c:strCache>
                      <c:ptCount val="1"/>
                      <c:pt idx="0">
                        <c:v>Compléments au titre des mois de soins M1+M2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DG'!$C$29:$C$40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8">
                        <c:v>2591.5300000000279</c:v>
                      </c:pt>
                      <c:pt idx="11">
                        <c:v>1869.6399999999558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9A22-4914-B197-60ECF3BF03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DG'!$D$28</c15:sqref>
                        </c15:formulaRef>
                      </c:ext>
                    </c:extLst>
                    <c:strCache>
                      <c:ptCount val="1"/>
                      <c:pt idx="0">
                        <c:v>Ecart entre la valorisation de l'activité de soins réalisée à partir de mars et la garantie de financement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DG'!$D$29:$D$40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8" formatCode="_(* #,##0.00_);_(* \(#,##0.00\);_(* &quot;-&quot;??_);_(@_)">
                        <c:v>-23578.739999999991</c:v>
                      </c:pt>
                      <c:pt idx="11" formatCode="_(* #,##0.00_);_(* \(#,##0.00\);_(* &quot;-&quot;??_);_(@_)">
                        <c:v>99122.930000000168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9A22-4914-B197-60ECF3BF03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DG'!$E$28</c15:sqref>
                        </c15:formulaRef>
                      </c:ext>
                    </c:extLst>
                    <c:strCache>
                      <c:ptCount val="1"/>
                      <c:pt idx="0">
                        <c:v>Mise à jour de la garantie de financement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DG'!$E$29:$E$40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1" formatCode="_(* #,##0.00_);_(* \(#,##0.00\);_(* &quot;-&quot;??_);_(@_)">
                        <c:v>19313.549999999814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9A22-4914-B197-60ECF3BF03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DG'!$F$28</c15:sqref>
                        </c15:formulaRef>
                      </c:ext>
                    </c:extLst>
                    <c:strCache>
                      <c:ptCount val="1"/>
                      <c:pt idx="0">
                        <c:v>Montant complémentaire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DG'!$F$29:$F$40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2591.5300000000279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120306.11999999994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9A22-4914-B197-60ECF3BF03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DG'!$G$28</c15:sqref>
                        </c15:formulaRef>
                      </c:ext>
                    </c:extLst>
                    <c:strCache>
                      <c:ptCount val="1"/>
                      <c:pt idx="0">
                        <c:v>Montant notifié final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DG'!$G$29:$G$40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202113.41</c:v>
                      </c:pt>
                      <c:pt idx="1">
                        <c:v>209581.43000000002</c:v>
                      </c:pt>
                      <c:pt idx="2">
                        <c:v>214595</c:v>
                      </c:pt>
                      <c:pt idx="3">
                        <c:v>214595</c:v>
                      </c:pt>
                      <c:pt idx="4">
                        <c:v>214595</c:v>
                      </c:pt>
                      <c:pt idx="5">
                        <c:v>214595</c:v>
                      </c:pt>
                      <c:pt idx="6">
                        <c:v>214595</c:v>
                      </c:pt>
                      <c:pt idx="7">
                        <c:v>214595</c:v>
                      </c:pt>
                      <c:pt idx="8">
                        <c:v>217186.53000000003</c:v>
                      </c:pt>
                      <c:pt idx="9">
                        <c:v>214595</c:v>
                      </c:pt>
                      <c:pt idx="10">
                        <c:v>214595</c:v>
                      </c:pt>
                      <c:pt idx="11">
                        <c:v>337047.06999999995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9A22-4914-B197-60ECF3BF036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DG'!$H$28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DG'!$A$29:$A$40</c15:sqref>
                        </c15:formulaRef>
                      </c:ext>
                    </c:extLst>
                    <c:strCache>
                      <c:ptCount val="12"/>
                      <c:pt idx="0">
                        <c:v>M1</c:v>
                      </c:pt>
                      <c:pt idx="1">
                        <c:v>M2</c:v>
                      </c:pt>
                      <c:pt idx="2">
                        <c:v>M3</c:v>
                      </c:pt>
                      <c:pt idx="3">
                        <c:v>M4</c:v>
                      </c:pt>
                      <c:pt idx="4">
                        <c:v>M5</c:v>
                      </c:pt>
                      <c:pt idx="5">
                        <c:v>M6</c:v>
                      </c:pt>
                      <c:pt idx="6">
                        <c:v>M7</c:v>
                      </c:pt>
                      <c:pt idx="7">
                        <c:v>M8</c:v>
                      </c:pt>
                      <c:pt idx="8">
                        <c:v>M9</c:v>
                      </c:pt>
                      <c:pt idx="9">
                        <c:v>M10</c:v>
                      </c:pt>
                      <c:pt idx="10">
                        <c:v>M11</c:v>
                      </c:pt>
                      <c:pt idx="11">
                        <c:v>M12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 2 ex DG'!$H$29:$H$40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9A22-4914-B197-60ECF3BF036E}"/>
                  </c:ext>
                </c:extLst>
              </c15:ser>
            </c15:filteredBarSeries>
          </c:ext>
        </c:extLst>
      </c:barChart>
      <c:catAx>
        <c:axId val="22425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252864"/>
        <c:crosses val="autoZero"/>
        <c:auto val="1"/>
        <c:lblAlgn val="ctr"/>
        <c:lblOffset val="100"/>
        <c:noMultiLvlLbl val="0"/>
      </c:catAx>
      <c:valAx>
        <c:axId val="22425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25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209550</xdr:colOff>
      <xdr:row>59</xdr:row>
      <xdr:rowOff>104776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45</xdr:row>
      <xdr:rowOff>0</xdr:rowOff>
    </xdr:from>
    <xdr:to>
      <xdr:col>8</xdr:col>
      <xdr:colOff>457200</xdr:colOff>
      <xdr:row>59</xdr:row>
      <xdr:rowOff>104776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3</xdr:col>
      <xdr:colOff>209550</xdr:colOff>
      <xdr:row>58</xdr:row>
      <xdr:rowOff>104776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44</xdr:row>
      <xdr:rowOff>0</xdr:rowOff>
    </xdr:from>
    <xdr:to>
      <xdr:col>8</xdr:col>
      <xdr:colOff>457200</xdr:colOff>
      <xdr:row>58</xdr:row>
      <xdr:rowOff>104776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topLeftCell="A11" workbookViewId="0">
      <selection activeCell="A22" sqref="A22"/>
    </sheetView>
  </sheetViews>
  <sheetFormatPr baseColWidth="10" defaultRowHeight="15" x14ac:dyDescent="0.25"/>
  <cols>
    <col min="1" max="1" width="18.42578125" style="2" customWidth="1"/>
    <col min="2" max="2" width="14.42578125" style="9" bestFit="1" customWidth="1"/>
    <col min="3" max="3" width="15.140625" style="9" customWidth="1"/>
    <col min="4" max="4" width="17.42578125" style="2" customWidth="1"/>
    <col min="5" max="5" width="14.28515625" style="2" bestFit="1" customWidth="1"/>
    <col min="6" max="6" width="15.5703125" style="2" customWidth="1"/>
    <col min="7" max="7" width="14.28515625" style="2" bestFit="1" customWidth="1"/>
    <col min="8" max="8" width="13.140625" style="2" bestFit="1" customWidth="1"/>
    <col min="9" max="11" width="14.28515625" style="2" bestFit="1" customWidth="1"/>
    <col min="12" max="13" width="11.7109375" style="2" bestFit="1" customWidth="1"/>
    <col min="14" max="16384" width="11.42578125" style="2"/>
  </cols>
  <sheetData>
    <row r="1" spans="1:13" x14ac:dyDescent="0.25">
      <c r="A1" s="29" t="s">
        <v>54</v>
      </c>
    </row>
    <row r="2" spans="1:13" x14ac:dyDescent="0.25">
      <c r="A2" s="30" t="s">
        <v>57</v>
      </c>
    </row>
    <row r="3" spans="1:13" ht="45" x14ac:dyDescent="0.25">
      <c r="A3" s="18" t="s">
        <v>42</v>
      </c>
      <c r="B3" s="6" t="s">
        <v>13</v>
      </c>
      <c r="C3" s="17"/>
      <c r="D3" s="18" t="s">
        <v>44</v>
      </c>
      <c r="E3" s="6" t="s">
        <v>43</v>
      </c>
    </row>
    <row r="4" spans="1:13" ht="60" x14ac:dyDescent="0.25">
      <c r="A4" s="3" t="s">
        <v>14</v>
      </c>
      <c r="B4" s="7">
        <f>2500000</f>
        <v>2500000</v>
      </c>
      <c r="C4" s="17"/>
      <c r="D4" s="19" t="s">
        <v>38</v>
      </c>
      <c r="E4" s="7">
        <f>B5/12*10</f>
        <v>2087500</v>
      </c>
    </row>
    <row r="5" spans="1:13" ht="45" x14ac:dyDescent="0.25">
      <c r="A5" s="4" t="s">
        <v>36</v>
      </c>
      <c r="B5" s="7">
        <f>B4*1.002</f>
        <v>2505000</v>
      </c>
      <c r="C5" s="17"/>
      <c r="D5" s="20" t="s">
        <v>39</v>
      </c>
      <c r="E5" s="7">
        <f>B5/12</f>
        <v>208750</v>
      </c>
    </row>
    <row r="6" spans="1:13" ht="45" x14ac:dyDescent="0.25">
      <c r="A6" s="4" t="s">
        <v>15</v>
      </c>
      <c r="B6" s="7">
        <f>B4*0.01</f>
        <v>25000</v>
      </c>
      <c r="C6" s="17"/>
      <c r="D6" s="20" t="s">
        <v>40</v>
      </c>
      <c r="E6" s="7">
        <f>B7/12*10</f>
        <v>2108375</v>
      </c>
    </row>
    <row r="7" spans="1:13" ht="30" x14ac:dyDescent="0.25">
      <c r="A7" s="21" t="s">
        <v>37</v>
      </c>
      <c r="B7" s="8">
        <f>(B4+B6)*1.002</f>
        <v>2530050</v>
      </c>
      <c r="C7" s="17"/>
      <c r="D7" s="21" t="s">
        <v>41</v>
      </c>
      <c r="E7" s="8">
        <f>B7/12</f>
        <v>210837.5</v>
      </c>
    </row>
    <row r="8" spans="1:13" x14ac:dyDescent="0.25">
      <c r="D8" s="9"/>
      <c r="E8" s="9"/>
    </row>
    <row r="9" spans="1:13" x14ac:dyDescent="0.25">
      <c r="A9" s="2" t="s">
        <v>16</v>
      </c>
    </row>
    <row r="10" spans="1:13" ht="15" customHeight="1" x14ac:dyDescent="0.25">
      <c r="A10" s="12"/>
      <c r="B10" s="31" t="s"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</row>
    <row r="11" spans="1:13" x14ac:dyDescent="0.25">
      <c r="A11" s="13"/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32</v>
      </c>
      <c r="L11" s="1" t="s">
        <v>33</v>
      </c>
      <c r="M11" s="1" t="s">
        <v>34</v>
      </c>
    </row>
    <row r="12" spans="1:13" ht="30" x14ac:dyDescent="0.25">
      <c r="A12" s="1" t="s">
        <v>11</v>
      </c>
      <c r="B12" s="1" t="s">
        <v>10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1" t="s">
        <v>10</v>
      </c>
      <c r="L12" s="1" t="s">
        <v>10</v>
      </c>
      <c r="M12" s="1" t="s">
        <v>10</v>
      </c>
    </row>
    <row r="13" spans="1:13" x14ac:dyDescent="0.25">
      <c r="A13" s="1" t="s">
        <v>1</v>
      </c>
      <c r="B13" s="15">
        <v>219725.57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" t="s">
        <v>2</v>
      </c>
      <c r="B14" s="14">
        <v>-1829.23</v>
      </c>
      <c r="C14" s="14">
        <v>211780.97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A15" s="1" t="s">
        <v>3</v>
      </c>
      <c r="B15" s="14">
        <v>0</v>
      </c>
      <c r="C15" s="14">
        <v>5360.88</v>
      </c>
      <c r="D15" s="14">
        <v>182123.07</v>
      </c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1" t="s">
        <v>4</v>
      </c>
      <c r="B16" s="14">
        <v>0</v>
      </c>
      <c r="C16" s="14">
        <v>-2591.5300000000002</v>
      </c>
      <c r="D16" s="14">
        <v>832.36</v>
      </c>
      <c r="E16" s="14">
        <v>165000</v>
      </c>
      <c r="F16" s="14"/>
      <c r="G16" s="14"/>
      <c r="H16" s="14"/>
      <c r="I16" s="14"/>
      <c r="J16" s="14"/>
      <c r="K16" s="14"/>
      <c r="L16" s="14"/>
      <c r="M16" s="14"/>
    </row>
    <row r="17" spans="1:16" x14ac:dyDescent="0.25">
      <c r="A17" s="1" t="s">
        <v>5</v>
      </c>
      <c r="B17" s="14">
        <v>0</v>
      </c>
      <c r="C17" s="14">
        <v>0</v>
      </c>
      <c r="D17" s="14">
        <v>0</v>
      </c>
      <c r="E17" s="14">
        <v>0</v>
      </c>
      <c r="F17" s="14">
        <v>160343</v>
      </c>
      <c r="G17" s="14"/>
      <c r="H17" s="14"/>
      <c r="I17" s="14"/>
      <c r="J17" s="14"/>
      <c r="K17" s="14"/>
      <c r="L17" s="14"/>
      <c r="M17" s="14"/>
    </row>
    <row r="18" spans="1:16" x14ac:dyDescent="0.25">
      <c r="A18" s="1" t="s">
        <v>6</v>
      </c>
      <c r="B18" s="14">
        <v>879.73</v>
      </c>
      <c r="C18" s="14">
        <v>0</v>
      </c>
      <c r="D18" s="14">
        <v>10532</v>
      </c>
      <c r="E18" s="14">
        <v>5633</v>
      </c>
      <c r="F18" s="14">
        <v>0</v>
      </c>
      <c r="G18" s="14">
        <v>163265</v>
      </c>
      <c r="H18" s="14"/>
      <c r="I18" s="14"/>
      <c r="J18" s="14"/>
      <c r="K18" s="14"/>
      <c r="L18" s="14"/>
      <c r="M18" s="14"/>
    </row>
    <row r="19" spans="1:16" x14ac:dyDescent="0.25">
      <c r="A19" s="1" t="s">
        <v>7</v>
      </c>
      <c r="B19" s="14">
        <v>0</v>
      </c>
      <c r="C19" s="14">
        <v>0</v>
      </c>
      <c r="D19" s="14">
        <v>0</v>
      </c>
      <c r="E19" s="14">
        <v>10253</v>
      </c>
      <c r="F19" s="14">
        <v>1868.28</v>
      </c>
      <c r="G19" s="14">
        <v>1275.3499999999999</v>
      </c>
      <c r="H19" s="14">
        <v>195572.91</v>
      </c>
      <c r="I19" s="14"/>
      <c r="J19" s="14"/>
      <c r="K19" s="14"/>
      <c r="L19" s="14"/>
      <c r="M19" s="14"/>
    </row>
    <row r="20" spans="1:16" x14ac:dyDescent="0.25">
      <c r="A20" s="1" t="s">
        <v>8</v>
      </c>
      <c r="B20" s="14">
        <v>0</v>
      </c>
      <c r="C20" s="14">
        <v>0</v>
      </c>
      <c r="D20" s="14">
        <v>0</v>
      </c>
      <c r="E20" s="14">
        <v>0</v>
      </c>
      <c r="F20" s="14">
        <v>5362</v>
      </c>
      <c r="G20" s="14">
        <v>3256</v>
      </c>
      <c r="H20" s="14">
        <v>0</v>
      </c>
      <c r="I20" s="14">
        <f>H19+5798</f>
        <v>201370.91</v>
      </c>
      <c r="J20" s="14"/>
      <c r="K20" s="14"/>
      <c r="L20" s="14"/>
      <c r="M20" s="14"/>
    </row>
    <row r="21" spans="1:16" x14ac:dyDescent="0.25">
      <c r="A21" s="1" t="s">
        <v>9</v>
      </c>
      <c r="B21" s="14">
        <v>0</v>
      </c>
      <c r="C21" s="14">
        <v>-24</v>
      </c>
      <c r="D21" s="14">
        <v>0</v>
      </c>
      <c r="E21" s="14">
        <v>-24</v>
      </c>
      <c r="F21" s="14">
        <v>7425</v>
      </c>
      <c r="G21" s="14">
        <v>10678</v>
      </c>
      <c r="H21" s="14">
        <v>1277.8399999999999</v>
      </c>
      <c r="I21" s="14">
        <v>1991.45</v>
      </c>
      <c r="J21" s="14">
        <v>213279.53</v>
      </c>
      <c r="K21" s="14"/>
      <c r="L21" s="14"/>
      <c r="M21" s="14"/>
    </row>
    <row r="22" spans="1:16" s="11" customFormat="1" x14ac:dyDescent="0.25">
      <c r="A22" s="1" t="s">
        <v>32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2097</v>
      </c>
      <c r="I22" s="14">
        <v>1567</v>
      </c>
      <c r="J22" s="14">
        <v>5380</v>
      </c>
      <c r="K22" s="14">
        <v>218175.55</v>
      </c>
      <c r="L22" s="14"/>
      <c r="M22" s="14"/>
    </row>
    <row r="23" spans="1:16" x14ac:dyDescent="0.25">
      <c r="A23" s="1" t="s">
        <v>33</v>
      </c>
      <c r="B23" s="14">
        <v>1247</v>
      </c>
      <c r="C23" s="14">
        <v>0</v>
      </c>
      <c r="D23" s="14">
        <v>8277.3700000000008</v>
      </c>
      <c r="E23" s="14">
        <v>0</v>
      </c>
      <c r="F23" s="14">
        <v>0</v>
      </c>
      <c r="G23" s="14">
        <v>4450</v>
      </c>
      <c r="H23" s="14">
        <v>4539.7299999999996</v>
      </c>
      <c r="I23" s="14">
        <v>0</v>
      </c>
      <c r="J23" s="14">
        <v>0</v>
      </c>
      <c r="K23" s="14">
        <v>2387</v>
      </c>
      <c r="L23" s="14">
        <f>K22+4250</f>
        <v>222425.55</v>
      </c>
      <c r="M23" s="14"/>
    </row>
    <row r="24" spans="1:16" x14ac:dyDescent="0.25">
      <c r="A24" s="1" t="s">
        <v>34</v>
      </c>
      <c r="B24" s="14">
        <v>0</v>
      </c>
      <c r="C24" s="14">
        <v>1119.6400000000001</v>
      </c>
      <c r="D24" s="14">
        <v>1346.9</v>
      </c>
      <c r="E24" s="14">
        <v>229.19</v>
      </c>
      <c r="F24" s="14">
        <v>7013.32</v>
      </c>
      <c r="G24" s="14">
        <v>1134.0999999999999</v>
      </c>
      <c r="H24" s="14">
        <v>0</v>
      </c>
      <c r="I24" s="14">
        <v>8929.76</v>
      </c>
      <c r="J24" s="14">
        <v>869.34</v>
      </c>
      <c r="K24" s="14">
        <v>971</v>
      </c>
      <c r="L24" s="14">
        <v>1834.64</v>
      </c>
      <c r="M24" s="14">
        <f>L23+5879</f>
        <v>228304.55</v>
      </c>
    </row>
    <row r="25" spans="1:16" x14ac:dyDescent="0.25">
      <c r="A25" s="1" t="s">
        <v>12</v>
      </c>
      <c r="B25" s="14">
        <f>SUM(B13:B24)</f>
        <v>220023.07</v>
      </c>
      <c r="C25" s="14">
        <f>SUM(C13:C24)</f>
        <v>215645.96000000002</v>
      </c>
      <c r="D25" s="14">
        <f>SUM(D13:D24)</f>
        <v>203111.69999999998</v>
      </c>
      <c r="E25" s="14">
        <f>SUM(E13:E24)</f>
        <v>181091.19</v>
      </c>
      <c r="F25" s="14">
        <f>SUM(F13:F24)</f>
        <v>182011.6</v>
      </c>
      <c r="G25" s="14">
        <f>SUM(G13:G24)</f>
        <v>184058.45</v>
      </c>
      <c r="H25" s="14">
        <f>SUM(H13:H24)</f>
        <v>203487.48</v>
      </c>
      <c r="I25" s="14">
        <f>SUM(I13:I24)</f>
        <v>213859.12000000002</v>
      </c>
      <c r="J25" s="14">
        <f>SUM(J13:J24)</f>
        <v>219528.87</v>
      </c>
      <c r="K25" s="14">
        <f>SUM(K13:K24)</f>
        <v>221533.55</v>
      </c>
      <c r="L25" s="14">
        <f>SUM(L13:L24)</f>
        <v>224260.19</v>
      </c>
      <c r="M25" s="14">
        <f>SUM(M13:M24)</f>
        <v>228304.55</v>
      </c>
    </row>
    <row r="26" spans="1:16" ht="15.75" thickBot="1" x14ac:dyDescent="0.3">
      <c r="E26" s="10"/>
    </row>
    <row r="27" spans="1:16" ht="15.75" thickBot="1" x14ac:dyDescent="0.3">
      <c r="A27" s="34" t="s">
        <v>50</v>
      </c>
      <c r="B27" s="35"/>
      <c r="C27" s="35"/>
      <c r="D27" s="35"/>
      <c r="E27" s="35"/>
      <c r="F27" s="35"/>
      <c r="G27" s="36"/>
      <c r="I27" s="37" t="s">
        <v>51</v>
      </c>
      <c r="J27" s="38"/>
      <c r="K27" s="39"/>
    </row>
    <row r="28" spans="1:16" ht="105" x14ac:dyDescent="0.25">
      <c r="A28" s="23"/>
      <c r="B28" s="23" t="s">
        <v>29</v>
      </c>
      <c r="C28" s="24" t="s">
        <v>30</v>
      </c>
      <c r="D28" s="24" t="s">
        <v>35</v>
      </c>
      <c r="E28" s="24" t="s">
        <v>45</v>
      </c>
      <c r="F28" s="24" t="s">
        <v>46</v>
      </c>
      <c r="G28" s="23" t="s">
        <v>31</v>
      </c>
      <c r="I28" s="23" t="s">
        <v>52</v>
      </c>
      <c r="J28" s="23" t="s">
        <v>48</v>
      </c>
      <c r="K28" s="28" t="s">
        <v>53</v>
      </c>
      <c r="L28" s="11"/>
      <c r="M28" s="11"/>
      <c r="N28" s="11"/>
      <c r="O28" s="11"/>
      <c r="P28" s="11"/>
    </row>
    <row r="29" spans="1:16" x14ac:dyDescent="0.25">
      <c r="A29" s="2" t="s">
        <v>17</v>
      </c>
      <c r="B29" s="9">
        <f>B13</f>
        <v>219725.57</v>
      </c>
      <c r="F29" s="2">
        <f>IF(D29&lt;0,C29+E29,C29+D29+E29)</f>
        <v>0</v>
      </c>
      <c r="G29" s="10">
        <f>B29+F29</f>
        <v>219725.57</v>
      </c>
      <c r="I29" s="10">
        <f>J29</f>
        <v>220023.07</v>
      </c>
      <c r="J29" s="10">
        <f>B25</f>
        <v>220023.07</v>
      </c>
      <c r="K29" s="10">
        <f>J29</f>
        <v>220023.07</v>
      </c>
    </row>
    <row r="30" spans="1:16" x14ac:dyDescent="0.25">
      <c r="A30" s="2" t="s">
        <v>18</v>
      </c>
      <c r="B30" s="9">
        <f>(B14+C14+B13)-B13</f>
        <v>209951.74</v>
      </c>
      <c r="F30" s="2">
        <f t="shared" ref="F30:F40" si="0">IF(D30&lt;0,C30+E30,C30+D30+E30)</f>
        <v>0</v>
      </c>
      <c r="G30" s="10">
        <f t="shared" ref="G30:G40" si="1">B30+F30</f>
        <v>209951.74</v>
      </c>
      <c r="I30" s="10">
        <f>J30</f>
        <v>215645.96000000002</v>
      </c>
      <c r="J30" s="10">
        <f>C25</f>
        <v>215645.96000000002</v>
      </c>
      <c r="K30" s="10">
        <f>J30</f>
        <v>215645.96000000002</v>
      </c>
    </row>
    <row r="31" spans="1:16" x14ac:dyDescent="0.25">
      <c r="A31" s="2" t="s">
        <v>19</v>
      </c>
      <c r="B31" s="9">
        <f t="shared" ref="B31:B39" si="2">$E$5</f>
        <v>208750</v>
      </c>
      <c r="F31" s="2">
        <f t="shared" si="0"/>
        <v>0</v>
      </c>
      <c r="G31" s="10">
        <f t="shared" si="1"/>
        <v>208750</v>
      </c>
      <c r="I31" s="10">
        <f>$E$7</f>
        <v>210837.5</v>
      </c>
      <c r="J31" s="10">
        <f>D25</f>
        <v>203111.69999999998</v>
      </c>
      <c r="K31" s="10">
        <f>$E$7</f>
        <v>210837.5</v>
      </c>
    </row>
    <row r="32" spans="1:16" x14ac:dyDescent="0.25">
      <c r="A32" s="2" t="s">
        <v>20</v>
      </c>
      <c r="B32" s="9">
        <f t="shared" si="2"/>
        <v>208750</v>
      </c>
      <c r="F32" s="2">
        <f t="shared" si="0"/>
        <v>0</v>
      </c>
      <c r="G32" s="10">
        <f t="shared" si="1"/>
        <v>208750</v>
      </c>
      <c r="I32" s="10">
        <f t="shared" ref="I32:I40" si="3">$E$7</f>
        <v>210837.5</v>
      </c>
      <c r="J32" s="10">
        <f>E25</f>
        <v>181091.19</v>
      </c>
      <c r="K32" s="10">
        <f t="shared" ref="K32:K40" si="4">$E$7</f>
        <v>210837.5</v>
      </c>
    </row>
    <row r="33" spans="1:11" x14ac:dyDescent="0.25">
      <c r="A33" s="2" t="s">
        <v>21</v>
      </c>
      <c r="B33" s="9">
        <f t="shared" si="2"/>
        <v>208750</v>
      </c>
      <c r="F33" s="2">
        <f t="shared" si="0"/>
        <v>0</v>
      </c>
      <c r="G33" s="10">
        <f t="shared" si="1"/>
        <v>208750</v>
      </c>
      <c r="I33" s="10">
        <f t="shared" si="3"/>
        <v>210837.5</v>
      </c>
      <c r="J33" s="10">
        <f>F25</f>
        <v>182011.6</v>
      </c>
      <c r="K33" s="10">
        <f t="shared" si="4"/>
        <v>210837.5</v>
      </c>
    </row>
    <row r="34" spans="1:11" x14ac:dyDescent="0.25">
      <c r="A34" s="2" t="s">
        <v>22</v>
      </c>
      <c r="B34" s="9">
        <f t="shared" si="2"/>
        <v>208750</v>
      </c>
      <c r="F34" s="2">
        <f t="shared" si="0"/>
        <v>0</v>
      </c>
      <c r="G34" s="10">
        <f t="shared" si="1"/>
        <v>208750</v>
      </c>
      <c r="I34" s="10">
        <f t="shared" si="3"/>
        <v>210837.5</v>
      </c>
      <c r="J34" s="10">
        <f>G25</f>
        <v>184058.45</v>
      </c>
      <c r="K34" s="10">
        <f t="shared" si="4"/>
        <v>210837.5</v>
      </c>
    </row>
    <row r="35" spans="1:11" x14ac:dyDescent="0.25">
      <c r="A35" s="2" t="s">
        <v>23</v>
      </c>
      <c r="B35" s="9">
        <f t="shared" si="2"/>
        <v>208750</v>
      </c>
      <c r="F35" s="2">
        <f t="shared" si="0"/>
        <v>0</v>
      </c>
      <c r="G35" s="10">
        <f t="shared" si="1"/>
        <v>208750</v>
      </c>
      <c r="I35" s="10">
        <f t="shared" si="3"/>
        <v>210837.5</v>
      </c>
      <c r="J35" s="10">
        <f>H25</f>
        <v>203487.48</v>
      </c>
      <c r="K35" s="10">
        <f t="shared" si="4"/>
        <v>210837.5</v>
      </c>
    </row>
    <row r="36" spans="1:11" x14ac:dyDescent="0.25">
      <c r="A36" s="2" t="s">
        <v>24</v>
      </c>
      <c r="B36" s="9">
        <f t="shared" si="2"/>
        <v>208750</v>
      </c>
      <c r="F36" s="2">
        <f t="shared" si="0"/>
        <v>0</v>
      </c>
      <c r="G36" s="10">
        <f t="shared" si="1"/>
        <v>208750</v>
      </c>
      <c r="I36" s="10">
        <f t="shared" si="3"/>
        <v>210837.5</v>
      </c>
      <c r="J36" s="10">
        <f>I25</f>
        <v>213859.12000000002</v>
      </c>
      <c r="K36" s="10">
        <f t="shared" si="4"/>
        <v>210837.5</v>
      </c>
    </row>
    <row r="37" spans="1:11" x14ac:dyDescent="0.25">
      <c r="A37" s="2" t="s">
        <v>25</v>
      </c>
      <c r="B37" s="9">
        <f t="shared" si="2"/>
        <v>208750</v>
      </c>
      <c r="C37" s="9">
        <f>SUM(B13:C21)-(B29+B30)</f>
        <v>3625.0799999999581</v>
      </c>
      <c r="D37" s="10">
        <f>SUM(D13:J21)-SUM(B31:B37)</f>
        <v>-119935.30000000005</v>
      </c>
      <c r="E37" s="10"/>
      <c r="F37" s="9">
        <f t="shared" si="0"/>
        <v>3625.0799999999581</v>
      </c>
      <c r="G37" s="10">
        <f t="shared" si="1"/>
        <v>212375.07999999996</v>
      </c>
      <c r="I37" s="10">
        <f t="shared" si="3"/>
        <v>210837.5</v>
      </c>
      <c r="J37" s="10">
        <f>J25</f>
        <v>219528.87</v>
      </c>
      <c r="K37" s="10">
        <f t="shared" si="4"/>
        <v>210837.5</v>
      </c>
    </row>
    <row r="38" spans="1:11" x14ac:dyDescent="0.25">
      <c r="A38" s="2" t="s">
        <v>26</v>
      </c>
      <c r="B38" s="9">
        <f t="shared" si="2"/>
        <v>208750</v>
      </c>
      <c r="F38" s="2">
        <f t="shared" si="0"/>
        <v>0</v>
      </c>
      <c r="G38" s="10">
        <f t="shared" si="1"/>
        <v>208750</v>
      </c>
      <c r="I38" s="10">
        <f t="shared" si="3"/>
        <v>210837.5</v>
      </c>
      <c r="J38" s="10">
        <f>K25</f>
        <v>221533.55</v>
      </c>
      <c r="K38" s="10">
        <f t="shared" si="4"/>
        <v>210837.5</v>
      </c>
    </row>
    <row r="39" spans="1:11" x14ac:dyDescent="0.25">
      <c r="A39" s="2" t="s">
        <v>27</v>
      </c>
      <c r="B39" s="9">
        <f t="shared" si="2"/>
        <v>208750</v>
      </c>
      <c r="F39" s="2">
        <f t="shared" si="0"/>
        <v>0</v>
      </c>
      <c r="G39" s="10">
        <f t="shared" si="1"/>
        <v>208750</v>
      </c>
      <c r="I39" s="10">
        <f t="shared" si="3"/>
        <v>210837.5</v>
      </c>
      <c r="J39" s="10">
        <f>L25</f>
        <v>224260.19</v>
      </c>
      <c r="K39" s="10">
        <f t="shared" si="4"/>
        <v>210837.5</v>
      </c>
    </row>
    <row r="40" spans="1:11" x14ac:dyDescent="0.25">
      <c r="A40" s="25" t="s">
        <v>28</v>
      </c>
      <c r="B40" s="26">
        <f>E7</f>
        <v>210837.5</v>
      </c>
      <c r="C40" s="26">
        <f>(B25+C25)-(B29+B30+C37)</f>
        <v>2366.6400000000722</v>
      </c>
      <c r="D40" s="27">
        <f>SUM(D25:M25)-(SUM(B31:B40)+E40)</f>
        <v>-47128.299999999814</v>
      </c>
      <c r="E40" s="27">
        <f>E7*9-E5*9</f>
        <v>18787.5</v>
      </c>
      <c r="F40" s="26">
        <f t="shared" si="0"/>
        <v>21154.140000000072</v>
      </c>
      <c r="G40" s="27">
        <f t="shared" si="1"/>
        <v>231991.64000000007</v>
      </c>
      <c r="I40" s="27">
        <f t="shared" si="3"/>
        <v>210837.5</v>
      </c>
      <c r="J40" s="27">
        <f>M25</f>
        <v>228304.55</v>
      </c>
      <c r="K40" s="27">
        <f t="shared" si="4"/>
        <v>210837.5</v>
      </c>
    </row>
    <row r="41" spans="1:11" x14ac:dyDescent="0.25">
      <c r="G41" s="10">
        <f>SUM(G29:G40)</f>
        <v>2544044.0300000003</v>
      </c>
      <c r="I41" s="10">
        <f>SUM(I29:I40)</f>
        <v>2544044.0300000003</v>
      </c>
      <c r="J41" s="10">
        <f>SUM(J29:J40)</f>
        <v>2496915.73</v>
      </c>
      <c r="K41" s="10">
        <f>SUM(K29:K40)</f>
        <v>2544044.0300000003</v>
      </c>
    </row>
  </sheetData>
  <mergeCells count="3">
    <mergeCell ref="B10:M10"/>
    <mergeCell ref="A27:G27"/>
    <mergeCell ref="I27:K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tabSelected="1" topLeftCell="A28" workbookViewId="0">
      <selection activeCell="A28" sqref="A28:G40"/>
    </sheetView>
  </sheetViews>
  <sheetFormatPr baseColWidth="10" defaultRowHeight="15" x14ac:dyDescent="0.25"/>
  <cols>
    <col min="1" max="1" width="21" style="2" customWidth="1"/>
    <col min="2" max="2" width="14.42578125" style="9" bestFit="1" customWidth="1"/>
    <col min="3" max="3" width="15.140625" style="9" customWidth="1"/>
    <col min="4" max="4" width="14.140625" style="2" customWidth="1"/>
    <col min="5" max="5" width="14.28515625" style="2" bestFit="1" customWidth="1"/>
    <col min="6" max="6" width="15.5703125" style="2" customWidth="1"/>
    <col min="7" max="7" width="14.28515625" style="2" bestFit="1" customWidth="1"/>
    <col min="8" max="8" width="13.140625" style="2" bestFit="1" customWidth="1"/>
    <col min="9" max="11" width="14.28515625" style="2" bestFit="1" customWidth="1"/>
    <col min="12" max="13" width="11.7109375" style="2" bestFit="1" customWidth="1"/>
    <col min="14" max="16384" width="11.42578125" style="2"/>
  </cols>
  <sheetData>
    <row r="1" spans="1:13" x14ac:dyDescent="0.25">
      <c r="A1" s="29" t="s">
        <v>55</v>
      </c>
    </row>
    <row r="2" spans="1:13" x14ac:dyDescent="0.25">
      <c r="A2" s="30" t="s">
        <v>57</v>
      </c>
    </row>
    <row r="3" spans="1:13" ht="45" x14ac:dyDescent="0.25">
      <c r="A3" s="18" t="s">
        <v>42</v>
      </c>
      <c r="B3" s="6" t="s">
        <v>13</v>
      </c>
      <c r="C3" s="17"/>
      <c r="D3" s="18" t="s">
        <v>44</v>
      </c>
      <c r="E3" s="6" t="s">
        <v>43</v>
      </c>
    </row>
    <row r="4" spans="1:13" ht="90" x14ac:dyDescent="0.25">
      <c r="A4" s="3" t="s">
        <v>14</v>
      </c>
      <c r="B4" s="7">
        <v>2570000</v>
      </c>
      <c r="C4" s="17"/>
      <c r="D4" s="19" t="s">
        <v>38</v>
      </c>
      <c r="E4" s="7">
        <f>B5/12*10</f>
        <v>2145950</v>
      </c>
    </row>
    <row r="5" spans="1:13" ht="45" x14ac:dyDescent="0.25">
      <c r="A5" s="4" t="s">
        <v>36</v>
      </c>
      <c r="B5" s="7">
        <f>B4*1.002</f>
        <v>2575140</v>
      </c>
      <c r="C5" s="17"/>
      <c r="D5" s="20" t="s">
        <v>39</v>
      </c>
      <c r="E5" s="7">
        <f>B5/12</f>
        <v>214595</v>
      </c>
    </row>
    <row r="6" spans="1:13" ht="75" x14ac:dyDescent="0.25">
      <c r="A6" s="4" t="s">
        <v>15</v>
      </c>
      <c r="B6" s="7">
        <f>B4*0.01</f>
        <v>25700</v>
      </c>
      <c r="C6" s="17"/>
      <c r="D6" s="20" t="s">
        <v>40</v>
      </c>
      <c r="E6" s="7">
        <f>B7/12*10</f>
        <v>2167409.5</v>
      </c>
    </row>
    <row r="7" spans="1:13" ht="45" x14ac:dyDescent="0.25">
      <c r="A7" s="5" t="s">
        <v>37</v>
      </c>
      <c r="B7" s="8">
        <f>(B4+B6)*1.002</f>
        <v>2600891.4</v>
      </c>
      <c r="C7" s="17"/>
      <c r="D7" s="21" t="s">
        <v>41</v>
      </c>
      <c r="E7" s="8">
        <f>B7/12</f>
        <v>216740.94999999998</v>
      </c>
    </row>
    <row r="8" spans="1:13" x14ac:dyDescent="0.25">
      <c r="D8" s="9"/>
      <c r="E8" s="9"/>
    </row>
    <row r="9" spans="1:13" x14ac:dyDescent="0.25">
      <c r="A9" s="2" t="s">
        <v>16</v>
      </c>
    </row>
    <row r="10" spans="1:13" ht="15" customHeight="1" x14ac:dyDescent="0.25">
      <c r="A10" s="12"/>
      <c r="B10" s="31" t="s"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</row>
    <row r="11" spans="1:13" x14ac:dyDescent="0.25">
      <c r="A11" s="13"/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32</v>
      </c>
      <c r="L11" s="1" t="s">
        <v>33</v>
      </c>
      <c r="M11" s="1" t="s">
        <v>34</v>
      </c>
    </row>
    <row r="12" spans="1:13" ht="30" x14ac:dyDescent="0.25">
      <c r="A12" s="1" t="s">
        <v>11</v>
      </c>
      <c r="B12" s="1" t="s">
        <v>10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 s="1" t="s">
        <v>10</v>
      </c>
      <c r="K12" s="1" t="s">
        <v>10</v>
      </c>
      <c r="L12" s="1" t="s">
        <v>10</v>
      </c>
      <c r="M12" s="1" t="s">
        <v>10</v>
      </c>
    </row>
    <row r="13" spans="1:13" x14ac:dyDescent="0.25">
      <c r="A13" s="1" t="s">
        <v>1</v>
      </c>
      <c r="B13" s="22">
        <v>202113.41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" t="s">
        <v>2</v>
      </c>
      <c r="B14" s="14">
        <v>829.23</v>
      </c>
      <c r="C14" s="22">
        <v>208752.2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A15" s="1" t="s">
        <v>3</v>
      </c>
      <c r="B15" s="14">
        <v>0</v>
      </c>
      <c r="C15" s="14">
        <v>0</v>
      </c>
      <c r="D15" s="22">
        <v>159542.32999999999</v>
      </c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1" t="s">
        <v>4</v>
      </c>
      <c r="B16" s="14">
        <v>0</v>
      </c>
      <c r="C16" s="14">
        <v>2591.5300000000002</v>
      </c>
      <c r="D16" s="14">
        <v>0</v>
      </c>
      <c r="E16" s="14">
        <v>165000</v>
      </c>
      <c r="F16" s="14"/>
      <c r="G16" s="14"/>
      <c r="H16" s="14"/>
      <c r="I16" s="14"/>
      <c r="J16" s="14"/>
      <c r="K16" s="14"/>
      <c r="L16" s="14"/>
      <c r="M16" s="14"/>
    </row>
    <row r="17" spans="1:16" x14ac:dyDescent="0.25">
      <c r="A17" s="1" t="s">
        <v>5</v>
      </c>
      <c r="B17" s="14">
        <v>0</v>
      </c>
      <c r="C17" s="14">
        <v>0</v>
      </c>
      <c r="D17" s="14">
        <v>0</v>
      </c>
      <c r="E17" s="14">
        <v>0</v>
      </c>
      <c r="F17" s="22">
        <v>160250.35</v>
      </c>
      <c r="G17" s="14"/>
      <c r="H17" s="14"/>
      <c r="I17" s="14"/>
      <c r="J17" s="14"/>
      <c r="K17" s="14"/>
      <c r="L17" s="14"/>
      <c r="M17" s="14"/>
    </row>
    <row r="18" spans="1:16" x14ac:dyDescent="0.25">
      <c r="A18" s="1" t="s">
        <v>6</v>
      </c>
      <c r="B18" s="14">
        <v>0</v>
      </c>
      <c r="C18" s="14">
        <v>0</v>
      </c>
      <c r="D18" s="22">
        <v>1088.1300000000001</v>
      </c>
      <c r="E18" s="14">
        <v>5633</v>
      </c>
      <c r="F18" s="14">
        <v>0</v>
      </c>
      <c r="G18" s="14">
        <v>233365</v>
      </c>
      <c r="H18" s="14"/>
      <c r="I18" s="14"/>
      <c r="J18" s="14"/>
      <c r="K18" s="14"/>
      <c r="L18" s="14"/>
      <c r="M18" s="14"/>
    </row>
    <row r="19" spans="1:16" x14ac:dyDescent="0.25">
      <c r="A19" s="1" t="s">
        <v>7</v>
      </c>
      <c r="B19" s="14">
        <v>0</v>
      </c>
      <c r="C19" s="14">
        <v>0</v>
      </c>
      <c r="D19" s="22">
        <v>9828</v>
      </c>
      <c r="E19" s="14">
        <v>10253</v>
      </c>
      <c r="F19" s="14">
        <v>1868.28</v>
      </c>
      <c r="G19" s="14">
        <v>1275.3499999999999</v>
      </c>
      <c r="H19" s="14">
        <v>225572.91</v>
      </c>
      <c r="I19" s="14"/>
      <c r="J19" s="14"/>
      <c r="K19" s="14"/>
      <c r="L19" s="14"/>
      <c r="M19" s="14"/>
    </row>
    <row r="20" spans="1:16" x14ac:dyDescent="0.25">
      <c r="A20" s="1" t="s">
        <v>8</v>
      </c>
      <c r="B20" s="14">
        <v>0</v>
      </c>
      <c r="C20" s="14">
        <v>0</v>
      </c>
      <c r="D20" s="14">
        <v>0</v>
      </c>
      <c r="E20" s="14">
        <v>0</v>
      </c>
      <c r="F20" s="14">
        <v>5362</v>
      </c>
      <c r="G20" s="14">
        <v>3256</v>
      </c>
      <c r="H20" s="14">
        <v>0</v>
      </c>
      <c r="I20" s="14">
        <f>H19+2329</f>
        <v>227901.91</v>
      </c>
      <c r="J20" s="14"/>
      <c r="K20" s="14"/>
      <c r="L20" s="14"/>
      <c r="M20" s="14"/>
    </row>
    <row r="21" spans="1:16" x14ac:dyDescent="0.25">
      <c r="A21" s="1" t="s">
        <v>9</v>
      </c>
      <c r="B21" s="14">
        <v>0</v>
      </c>
      <c r="C21" s="14"/>
      <c r="D21" s="14">
        <v>0</v>
      </c>
      <c r="E21" s="14">
        <v>-24</v>
      </c>
      <c r="F21" s="14">
        <v>7425</v>
      </c>
      <c r="G21" s="14">
        <v>10678</v>
      </c>
      <c r="H21" s="14">
        <v>1546</v>
      </c>
      <c r="I21" s="14"/>
      <c r="J21" s="14">
        <v>248765</v>
      </c>
      <c r="K21" s="14"/>
      <c r="L21" s="14"/>
      <c r="M21" s="14"/>
    </row>
    <row r="22" spans="1:16" s="11" customFormat="1" x14ac:dyDescent="0.25">
      <c r="A22" s="1" t="s">
        <v>32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2097</v>
      </c>
      <c r="I22" s="14">
        <v>1567</v>
      </c>
      <c r="J22" s="14">
        <v>7322</v>
      </c>
      <c r="K22" s="14">
        <v>250175.55</v>
      </c>
      <c r="L22" s="14"/>
      <c r="M22" s="14"/>
    </row>
    <row r="23" spans="1:16" x14ac:dyDescent="0.25">
      <c r="A23" s="1" t="s">
        <v>33</v>
      </c>
      <c r="B23" s="14">
        <v>750</v>
      </c>
      <c r="C23" s="14">
        <v>0</v>
      </c>
      <c r="D23" s="14">
        <v>9377.3700000000008</v>
      </c>
      <c r="E23" s="14">
        <v>0</v>
      </c>
      <c r="F23" s="14">
        <v>0</v>
      </c>
      <c r="G23" s="14">
        <v>4450</v>
      </c>
      <c r="H23" s="14">
        <v>5877</v>
      </c>
      <c r="I23" s="14">
        <v>0</v>
      </c>
      <c r="J23" s="14">
        <v>0</v>
      </c>
      <c r="K23" s="14">
        <v>2387</v>
      </c>
      <c r="L23" s="14">
        <f>248495</f>
        <v>248495</v>
      </c>
      <c r="M23" s="14"/>
    </row>
    <row r="24" spans="1:16" x14ac:dyDescent="0.25">
      <c r="A24" s="1" t="s">
        <v>34</v>
      </c>
      <c r="B24" s="14">
        <v>0</v>
      </c>
      <c r="C24" s="14">
        <v>1119.6400000000001</v>
      </c>
      <c r="D24" s="14">
        <v>1446.9</v>
      </c>
      <c r="E24" s="14">
        <v>229.19</v>
      </c>
      <c r="F24" s="14">
        <v>7013.32</v>
      </c>
      <c r="G24" s="14">
        <v>1134.0999999999999</v>
      </c>
      <c r="H24" s="14">
        <v>0</v>
      </c>
      <c r="I24" s="14">
        <v>7629.76</v>
      </c>
      <c r="J24" s="14">
        <v>869.34</v>
      </c>
      <c r="K24" s="14">
        <v>971</v>
      </c>
      <c r="L24" s="14">
        <v>1834.64</v>
      </c>
      <c r="M24" s="14">
        <f>235070</f>
        <v>235070</v>
      </c>
    </row>
    <row r="25" spans="1:16" x14ac:dyDescent="0.25">
      <c r="A25" s="1" t="s">
        <v>12</v>
      </c>
      <c r="B25" s="14">
        <f>SUM(B13:B24)</f>
        <v>203692.64</v>
      </c>
      <c r="C25" s="14">
        <f t="shared" ref="C25:M25" si="0">SUM(C13:C24)</f>
        <v>212463.37000000002</v>
      </c>
      <c r="D25" s="14">
        <f t="shared" si="0"/>
        <v>181282.72999999998</v>
      </c>
      <c r="E25" s="14">
        <f t="shared" si="0"/>
        <v>181091.19</v>
      </c>
      <c r="F25" s="14">
        <f t="shared" si="0"/>
        <v>181918.95</v>
      </c>
      <c r="G25" s="14">
        <f t="shared" si="0"/>
        <v>254158.45</v>
      </c>
      <c r="H25" s="14">
        <f t="shared" si="0"/>
        <v>235092.91</v>
      </c>
      <c r="I25" s="14">
        <f t="shared" si="0"/>
        <v>237098.67</v>
      </c>
      <c r="J25" s="14">
        <f t="shared" si="0"/>
        <v>256956.34</v>
      </c>
      <c r="K25" s="14">
        <f t="shared" si="0"/>
        <v>253533.55</v>
      </c>
      <c r="L25" s="14">
        <f t="shared" si="0"/>
        <v>250329.64</v>
      </c>
      <c r="M25" s="14">
        <f t="shared" si="0"/>
        <v>235070</v>
      </c>
    </row>
    <row r="26" spans="1:16" ht="15.75" thickBot="1" x14ac:dyDescent="0.3">
      <c r="E26" s="10"/>
    </row>
    <row r="27" spans="1:16" ht="15.75" thickBot="1" x14ac:dyDescent="0.3">
      <c r="A27" s="34" t="s">
        <v>50</v>
      </c>
      <c r="B27" s="35"/>
      <c r="C27" s="35"/>
      <c r="D27" s="35"/>
      <c r="E27" s="35"/>
      <c r="F27" s="35"/>
      <c r="G27" s="36"/>
      <c r="I27" s="37" t="s">
        <v>51</v>
      </c>
      <c r="J27" s="38"/>
      <c r="K27" s="39"/>
    </row>
    <row r="28" spans="1:16" ht="120" x14ac:dyDescent="0.25">
      <c r="A28" s="23"/>
      <c r="B28" s="23" t="s">
        <v>29</v>
      </c>
      <c r="C28" s="24" t="s">
        <v>30</v>
      </c>
      <c r="D28" s="24" t="s">
        <v>35</v>
      </c>
      <c r="E28" s="24" t="s">
        <v>45</v>
      </c>
      <c r="F28" s="24" t="s">
        <v>46</v>
      </c>
      <c r="G28" s="23" t="s">
        <v>31</v>
      </c>
      <c r="I28" s="23" t="s">
        <v>49</v>
      </c>
      <c r="J28" s="23" t="s">
        <v>48</v>
      </c>
      <c r="K28" s="28" t="s">
        <v>47</v>
      </c>
      <c r="L28" s="11"/>
      <c r="M28" s="11"/>
      <c r="N28" s="11"/>
      <c r="O28" s="11"/>
      <c r="P28" s="11"/>
    </row>
    <row r="29" spans="1:16" x14ac:dyDescent="0.25">
      <c r="A29" s="2" t="s">
        <v>17</v>
      </c>
      <c r="B29" s="9">
        <f>B13</f>
        <v>202113.41</v>
      </c>
      <c r="F29" s="2">
        <f>IF(D29&lt;0,C29+E29,C29+D29+E29)</f>
        <v>0</v>
      </c>
      <c r="G29" s="10">
        <f>B29+F29</f>
        <v>202113.41</v>
      </c>
      <c r="I29" s="10">
        <f>J29</f>
        <v>203692.64</v>
      </c>
      <c r="J29" s="10">
        <f>B25</f>
        <v>203692.64</v>
      </c>
      <c r="K29" s="10">
        <f>J29</f>
        <v>203692.64</v>
      </c>
    </row>
    <row r="30" spans="1:16" x14ac:dyDescent="0.25">
      <c r="A30" s="2" t="s">
        <v>18</v>
      </c>
      <c r="B30" s="9">
        <f>(B14+C14+B13)-B13</f>
        <v>209581.43000000002</v>
      </c>
      <c r="F30" s="2">
        <f t="shared" ref="F30:F39" si="1">IF(D30&lt;0,C30+E30,C30+D30+E30)</f>
        <v>0</v>
      </c>
      <c r="G30" s="10">
        <f t="shared" ref="G30:G40" si="2">B30+F30</f>
        <v>209581.43000000002</v>
      </c>
      <c r="I30" s="10">
        <f>J30</f>
        <v>212463.37000000002</v>
      </c>
      <c r="J30" s="10">
        <f>C25</f>
        <v>212463.37000000002</v>
      </c>
      <c r="K30" s="10">
        <f>J30</f>
        <v>212463.37000000002</v>
      </c>
    </row>
    <row r="31" spans="1:16" x14ac:dyDescent="0.25">
      <c r="A31" s="2" t="s">
        <v>19</v>
      </c>
      <c r="B31" s="9">
        <f t="shared" ref="B31:B39" si="3">$E$5</f>
        <v>214595</v>
      </c>
      <c r="F31" s="2">
        <f t="shared" si="1"/>
        <v>0</v>
      </c>
      <c r="G31" s="10">
        <f t="shared" si="2"/>
        <v>214595</v>
      </c>
      <c r="I31" s="10">
        <f>$E$7</f>
        <v>216740.94999999998</v>
      </c>
      <c r="J31" s="10">
        <f>D25</f>
        <v>181282.72999999998</v>
      </c>
      <c r="K31" s="10">
        <f>J31</f>
        <v>181282.72999999998</v>
      </c>
    </row>
    <row r="32" spans="1:16" x14ac:dyDescent="0.25">
      <c r="A32" s="2" t="s">
        <v>20</v>
      </c>
      <c r="B32" s="9">
        <f t="shared" si="3"/>
        <v>214595</v>
      </c>
      <c r="F32" s="2">
        <f t="shared" si="1"/>
        <v>0</v>
      </c>
      <c r="G32" s="10">
        <f t="shared" si="2"/>
        <v>214595</v>
      </c>
      <c r="I32" s="10">
        <f t="shared" ref="I32:I40" si="4">$E$7</f>
        <v>216740.94999999998</v>
      </c>
      <c r="J32" s="10">
        <f>E25</f>
        <v>181091.19</v>
      </c>
      <c r="K32" s="10">
        <f t="shared" ref="K32:K40" si="5">J32</f>
        <v>181091.19</v>
      </c>
    </row>
    <row r="33" spans="1:11" x14ac:dyDescent="0.25">
      <c r="A33" s="2" t="s">
        <v>21</v>
      </c>
      <c r="B33" s="9">
        <f t="shared" si="3"/>
        <v>214595</v>
      </c>
      <c r="F33" s="2">
        <f t="shared" si="1"/>
        <v>0</v>
      </c>
      <c r="G33" s="10">
        <f t="shared" si="2"/>
        <v>214595</v>
      </c>
      <c r="I33" s="10">
        <f t="shared" si="4"/>
        <v>216740.94999999998</v>
      </c>
      <c r="J33" s="10">
        <f>F25</f>
        <v>181918.95</v>
      </c>
      <c r="K33" s="10">
        <f t="shared" si="5"/>
        <v>181918.95</v>
      </c>
    </row>
    <row r="34" spans="1:11" x14ac:dyDescent="0.25">
      <c r="A34" s="2" t="s">
        <v>22</v>
      </c>
      <c r="B34" s="9">
        <f t="shared" si="3"/>
        <v>214595</v>
      </c>
      <c r="F34" s="2">
        <f t="shared" si="1"/>
        <v>0</v>
      </c>
      <c r="G34" s="10">
        <f t="shared" si="2"/>
        <v>214595</v>
      </c>
      <c r="I34" s="10">
        <f t="shared" si="4"/>
        <v>216740.94999999998</v>
      </c>
      <c r="J34" s="10">
        <f>G25</f>
        <v>254158.45</v>
      </c>
      <c r="K34" s="10">
        <f t="shared" si="5"/>
        <v>254158.45</v>
      </c>
    </row>
    <row r="35" spans="1:11" x14ac:dyDescent="0.25">
      <c r="A35" s="2" t="s">
        <v>23</v>
      </c>
      <c r="B35" s="9">
        <f t="shared" si="3"/>
        <v>214595</v>
      </c>
      <c r="F35" s="2">
        <f t="shared" si="1"/>
        <v>0</v>
      </c>
      <c r="G35" s="10">
        <f t="shared" si="2"/>
        <v>214595</v>
      </c>
      <c r="I35" s="10">
        <f t="shared" si="4"/>
        <v>216740.94999999998</v>
      </c>
      <c r="J35" s="10">
        <f>H25</f>
        <v>235092.91</v>
      </c>
      <c r="K35" s="10">
        <f t="shared" si="5"/>
        <v>235092.91</v>
      </c>
    </row>
    <row r="36" spans="1:11" x14ac:dyDescent="0.25">
      <c r="A36" s="2" t="s">
        <v>24</v>
      </c>
      <c r="B36" s="9">
        <f t="shared" si="3"/>
        <v>214595</v>
      </c>
      <c r="F36" s="2">
        <f t="shared" si="1"/>
        <v>0</v>
      </c>
      <c r="G36" s="10">
        <f t="shared" si="2"/>
        <v>214595</v>
      </c>
      <c r="I36" s="10">
        <f t="shared" si="4"/>
        <v>216740.94999999998</v>
      </c>
      <c r="J36" s="10">
        <f>I25</f>
        <v>237098.67</v>
      </c>
      <c r="K36" s="10">
        <f t="shared" si="5"/>
        <v>237098.67</v>
      </c>
    </row>
    <row r="37" spans="1:11" x14ac:dyDescent="0.25">
      <c r="A37" s="2" t="s">
        <v>25</v>
      </c>
      <c r="B37" s="9">
        <f t="shared" si="3"/>
        <v>214595</v>
      </c>
      <c r="C37" s="9">
        <f>SUM(B13:C21)-(B29+B30)</f>
        <v>2591.5300000000279</v>
      </c>
      <c r="D37" s="10">
        <f>SUM(D13:J21)-SUM(B31:B37)</f>
        <v>-23578.739999999991</v>
      </c>
      <c r="E37" s="10"/>
      <c r="F37" s="2">
        <f t="shared" si="1"/>
        <v>2591.5300000000279</v>
      </c>
      <c r="G37" s="10">
        <f t="shared" si="2"/>
        <v>217186.53000000003</v>
      </c>
      <c r="I37" s="10">
        <f t="shared" si="4"/>
        <v>216740.94999999998</v>
      </c>
      <c r="J37" s="10">
        <f>J25</f>
        <v>256956.34</v>
      </c>
      <c r="K37" s="10">
        <f t="shared" si="5"/>
        <v>256956.34</v>
      </c>
    </row>
    <row r="38" spans="1:11" x14ac:dyDescent="0.25">
      <c r="A38" s="2" t="s">
        <v>26</v>
      </c>
      <c r="B38" s="9">
        <f t="shared" si="3"/>
        <v>214595</v>
      </c>
      <c r="F38" s="2">
        <f t="shared" si="1"/>
        <v>0</v>
      </c>
      <c r="G38" s="10">
        <f t="shared" si="2"/>
        <v>214595</v>
      </c>
      <c r="I38" s="10">
        <f t="shared" si="4"/>
        <v>216740.94999999998</v>
      </c>
      <c r="J38" s="10">
        <f>K25</f>
        <v>253533.55</v>
      </c>
      <c r="K38" s="10">
        <f t="shared" si="5"/>
        <v>253533.55</v>
      </c>
    </row>
    <row r="39" spans="1:11" x14ac:dyDescent="0.25">
      <c r="A39" s="2" t="s">
        <v>27</v>
      </c>
      <c r="B39" s="9">
        <f t="shared" si="3"/>
        <v>214595</v>
      </c>
      <c r="F39" s="2">
        <f t="shared" si="1"/>
        <v>0</v>
      </c>
      <c r="G39" s="10">
        <f t="shared" si="2"/>
        <v>214595</v>
      </c>
      <c r="I39" s="10">
        <f t="shared" si="4"/>
        <v>216740.94999999998</v>
      </c>
      <c r="J39" s="10">
        <f>L25</f>
        <v>250329.64</v>
      </c>
      <c r="K39" s="10">
        <f t="shared" si="5"/>
        <v>250329.64</v>
      </c>
    </row>
    <row r="40" spans="1:11" x14ac:dyDescent="0.25">
      <c r="A40" s="25" t="s">
        <v>28</v>
      </c>
      <c r="B40" s="26">
        <f>E7</f>
        <v>216740.94999999998</v>
      </c>
      <c r="C40" s="26">
        <f>(B25+C25)-(B29+B30+C37)</f>
        <v>1869.6399999999558</v>
      </c>
      <c r="D40" s="27">
        <f>SUM(D25:M25)-(SUM(B31:B40)+E40)</f>
        <v>99122.930000000168</v>
      </c>
      <c r="E40" s="27">
        <f>E7*9-E5*9</f>
        <v>19313.549999999814</v>
      </c>
      <c r="F40" s="25">
        <f>IF(D40&lt;0,C40+E40,C40+D40+E40)</f>
        <v>120306.11999999994</v>
      </c>
      <c r="G40" s="27">
        <f t="shared" si="2"/>
        <v>337047.06999999995</v>
      </c>
      <c r="I40" s="27">
        <f t="shared" si="4"/>
        <v>216740.94999999998</v>
      </c>
      <c r="J40" s="27">
        <f>M25</f>
        <v>235070</v>
      </c>
      <c r="K40" s="27">
        <f t="shared" si="5"/>
        <v>235070</v>
      </c>
    </row>
    <row r="41" spans="1:11" x14ac:dyDescent="0.25">
      <c r="G41" s="10">
        <f>SUM(G29:G40)</f>
        <v>2682688.44</v>
      </c>
      <c r="I41" s="10">
        <f>SUM(I29:I40)</f>
        <v>2583565.5100000002</v>
      </c>
      <c r="J41" s="10">
        <f>SUM(J29:J40)</f>
        <v>2682688.44</v>
      </c>
      <c r="K41" s="10">
        <f>SUM(K29:K40)</f>
        <v>2682688.44</v>
      </c>
    </row>
  </sheetData>
  <mergeCells count="3">
    <mergeCell ref="B10:M10"/>
    <mergeCell ref="A27:G27"/>
    <mergeCell ref="I27:K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27" sqref="A4:M27"/>
    </sheetView>
  </sheetViews>
  <sheetFormatPr baseColWidth="10" defaultRowHeight="15" x14ac:dyDescent="0.25"/>
  <cols>
    <col min="1" max="1" width="29.85546875" style="2" customWidth="1"/>
    <col min="2" max="2" width="14.28515625" style="2" bestFit="1" customWidth="1"/>
    <col min="3" max="3" width="11.42578125" style="2"/>
    <col min="4" max="4" width="20.42578125" style="2" customWidth="1"/>
    <col min="5" max="5" width="14.140625" style="2" customWidth="1"/>
    <col min="6" max="16384" width="11.42578125" style="2"/>
  </cols>
  <sheetData>
    <row r="1" spans="1:13" x14ac:dyDescent="0.25">
      <c r="A1" s="29" t="s">
        <v>54</v>
      </c>
    </row>
    <row r="2" spans="1:13" x14ac:dyDescent="0.25">
      <c r="A2" s="2" t="s">
        <v>56</v>
      </c>
    </row>
    <row r="4" spans="1:13" ht="30" x14ac:dyDescent="0.25">
      <c r="A4" s="18" t="s">
        <v>42</v>
      </c>
      <c r="B4" s="6" t="s">
        <v>13</v>
      </c>
      <c r="C4" s="17"/>
      <c r="D4" s="18" t="s">
        <v>44</v>
      </c>
      <c r="E4" s="6" t="s">
        <v>43</v>
      </c>
    </row>
    <row r="5" spans="1:13" ht="45" x14ac:dyDescent="0.25">
      <c r="A5" s="19" t="s">
        <v>58</v>
      </c>
      <c r="B5" s="7">
        <f>2500000</f>
        <v>2500000</v>
      </c>
      <c r="C5" s="17"/>
      <c r="D5" s="19" t="s">
        <v>59</v>
      </c>
      <c r="E5" s="7">
        <f>B6/12*10</f>
        <v>2087500</v>
      </c>
    </row>
    <row r="6" spans="1:13" ht="30" x14ac:dyDescent="0.25">
      <c r="A6" s="20" t="s">
        <v>60</v>
      </c>
      <c r="B6" s="7">
        <f>B5*1.002</f>
        <v>2505000</v>
      </c>
      <c r="C6" s="17"/>
      <c r="D6" s="20" t="s">
        <v>61</v>
      </c>
      <c r="E6" s="7">
        <f>B6/12</f>
        <v>208750</v>
      </c>
    </row>
    <row r="7" spans="1:13" x14ac:dyDescent="0.25">
      <c r="B7" s="9"/>
      <c r="C7" s="9"/>
      <c r="D7" s="9"/>
      <c r="E7" s="9"/>
    </row>
    <row r="8" spans="1:13" x14ac:dyDescent="0.25">
      <c r="A8" s="2" t="s">
        <v>62</v>
      </c>
      <c r="B8" s="9"/>
      <c r="C8" s="9"/>
    </row>
    <row r="9" spans="1:13" ht="15" customHeight="1" x14ac:dyDescent="0.25">
      <c r="A9" s="12"/>
      <c r="B9" s="31" t="s"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25">
      <c r="A10" s="13"/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32</v>
      </c>
      <c r="L10" s="1" t="s">
        <v>33</v>
      </c>
      <c r="M10" s="1" t="s">
        <v>34</v>
      </c>
    </row>
    <row r="11" spans="1:13" ht="30" x14ac:dyDescent="0.25">
      <c r="A11" s="1" t="s">
        <v>63</v>
      </c>
      <c r="B11" s="1" t="s">
        <v>10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1" t="s">
        <v>10</v>
      </c>
      <c r="L11" s="1" t="s">
        <v>10</v>
      </c>
      <c r="M11" s="1" t="s">
        <v>10</v>
      </c>
    </row>
    <row r="12" spans="1:13" x14ac:dyDescent="0.25">
      <c r="A12" s="1" t="s">
        <v>1</v>
      </c>
      <c r="B12" s="15">
        <v>219725.57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25">
      <c r="A13" s="1" t="s">
        <v>2</v>
      </c>
      <c r="B13" s="14">
        <v>1829.23</v>
      </c>
      <c r="C13" s="14">
        <v>211780.97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1" t="s">
        <v>3</v>
      </c>
      <c r="B14" s="14">
        <v>0</v>
      </c>
      <c r="C14" s="14">
        <v>5360.88</v>
      </c>
      <c r="D14" s="14">
        <v>182123.07</v>
      </c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A15" s="1" t="s">
        <v>4</v>
      </c>
      <c r="B15" s="14">
        <v>0</v>
      </c>
      <c r="C15" s="14">
        <v>2591.5300000000002</v>
      </c>
      <c r="D15" s="14">
        <v>832.36</v>
      </c>
      <c r="E15" s="14">
        <v>165000</v>
      </c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160343</v>
      </c>
      <c r="G16" s="14"/>
      <c r="H16" s="14"/>
      <c r="I16" s="14"/>
      <c r="J16" s="14"/>
      <c r="K16" s="14"/>
      <c r="L16" s="14"/>
      <c r="M16" s="14"/>
    </row>
    <row r="17" spans="1:13" x14ac:dyDescent="0.25">
      <c r="A17" s="1" t="s">
        <v>6</v>
      </c>
      <c r="B17" s="14">
        <v>1079.73</v>
      </c>
      <c r="C17" s="14">
        <v>0</v>
      </c>
      <c r="D17" s="14">
        <v>10532</v>
      </c>
      <c r="E17" s="14">
        <v>5633</v>
      </c>
      <c r="F17" s="14">
        <v>0</v>
      </c>
      <c r="G17" s="14">
        <v>163265</v>
      </c>
      <c r="H17" s="14"/>
      <c r="I17" s="14"/>
      <c r="J17" s="14"/>
      <c r="K17" s="14"/>
      <c r="L17" s="14"/>
      <c r="M17" s="14"/>
    </row>
    <row r="18" spans="1:13" x14ac:dyDescent="0.25">
      <c r="A18" s="1" t="s">
        <v>7</v>
      </c>
      <c r="B18" s="14">
        <v>0</v>
      </c>
      <c r="C18" s="14">
        <v>0</v>
      </c>
      <c r="D18" s="14">
        <v>0</v>
      </c>
      <c r="E18" s="14">
        <v>10253</v>
      </c>
      <c r="F18" s="14">
        <v>1868.28</v>
      </c>
      <c r="G18" s="14">
        <v>1275.3499999999999</v>
      </c>
      <c r="H18" s="14">
        <v>195572.91</v>
      </c>
      <c r="I18" s="14"/>
      <c r="J18" s="14"/>
      <c r="K18" s="14"/>
      <c r="L18" s="14"/>
      <c r="M18" s="14"/>
    </row>
    <row r="19" spans="1:13" x14ac:dyDescent="0.25">
      <c r="A19" s="1" t="s">
        <v>8</v>
      </c>
      <c r="B19" s="14">
        <v>0</v>
      </c>
      <c r="C19" s="14">
        <v>0</v>
      </c>
      <c r="D19" s="14">
        <v>0</v>
      </c>
      <c r="E19" s="14">
        <v>0</v>
      </c>
      <c r="F19" s="14">
        <v>5362</v>
      </c>
      <c r="G19" s="14">
        <v>3256</v>
      </c>
      <c r="H19" s="14">
        <v>0</v>
      </c>
      <c r="I19" s="14">
        <f>H18+5798</f>
        <v>201370.91</v>
      </c>
      <c r="J19" s="14"/>
      <c r="K19" s="14"/>
      <c r="L19" s="14"/>
      <c r="M19" s="14"/>
    </row>
    <row r="20" spans="1:13" x14ac:dyDescent="0.25">
      <c r="A20" s="1" t="s">
        <v>9</v>
      </c>
      <c r="B20" s="14">
        <v>0</v>
      </c>
      <c r="C20" s="14">
        <v>1324</v>
      </c>
      <c r="D20" s="14">
        <v>0</v>
      </c>
      <c r="E20" s="14">
        <v>1324</v>
      </c>
      <c r="F20" s="14">
        <v>7425</v>
      </c>
      <c r="G20" s="14">
        <v>10678</v>
      </c>
      <c r="H20" s="14">
        <v>1277.8399999999999</v>
      </c>
      <c r="I20" s="14">
        <v>1991.45</v>
      </c>
      <c r="J20" s="14">
        <v>213279.53</v>
      </c>
      <c r="K20" s="14"/>
      <c r="L20" s="14"/>
      <c r="M20" s="14"/>
    </row>
    <row r="21" spans="1:13" s="11" customFormat="1" x14ac:dyDescent="0.25">
      <c r="A21" s="1" t="s">
        <v>32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2097</v>
      </c>
      <c r="I21" s="14">
        <v>1567</v>
      </c>
      <c r="J21" s="14">
        <v>5380</v>
      </c>
      <c r="K21" s="14">
        <v>218175.55</v>
      </c>
      <c r="L21" s="14"/>
      <c r="M21" s="14"/>
    </row>
    <row r="22" spans="1:13" x14ac:dyDescent="0.25">
      <c r="A22" s="1" t="s">
        <v>33</v>
      </c>
      <c r="B22" s="14">
        <v>1247</v>
      </c>
      <c r="C22" s="14">
        <v>0</v>
      </c>
      <c r="D22" s="14">
        <v>8277.3700000000008</v>
      </c>
      <c r="E22" s="14">
        <v>0</v>
      </c>
      <c r="F22" s="14">
        <v>0</v>
      </c>
      <c r="G22" s="14">
        <v>4450</v>
      </c>
      <c r="H22" s="14">
        <v>4539.7299999999996</v>
      </c>
      <c r="I22" s="14">
        <v>0</v>
      </c>
      <c r="J22" s="14">
        <v>0</v>
      </c>
      <c r="K22" s="14">
        <v>2387</v>
      </c>
      <c r="L22" s="14">
        <f>K21+4250</f>
        <v>222425.55</v>
      </c>
      <c r="M22" s="14"/>
    </row>
    <row r="23" spans="1:13" x14ac:dyDescent="0.25">
      <c r="A23" s="1" t="s">
        <v>34</v>
      </c>
      <c r="B23" s="14">
        <v>0</v>
      </c>
      <c r="C23" s="14">
        <v>1119.6400000000001</v>
      </c>
      <c r="D23" s="14">
        <v>1346.9</v>
      </c>
      <c r="E23" s="14">
        <v>229.19</v>
      </c>
      <c r="F23" s="14">
        <v>7013.32</v>
      </c>
      <c r="G23" s="14">
        <v>1134.0999999999999</v>
      </c>
      <c r="H23" s="14">
        <v>0</v>
      </c>
      <c r="I23" s="14">
        <v>8929.76</v>
      </c>
      <c r="J23" s="14">
        <v>869.34</v>
      </c>
      <c r="K23" s="14">
        <v>971</v>
      </c>
      <c r="L23" s="14">
        <v>1834.64</v>
      </c>
      <c r="M23" s="14">
        <f>L22+5879</f>
        <v>228304.55</v>
      </c>
    </row>
    <row r="24" spans="1:13" x14ac:dyDescent="0.25">
      <c r="A24" s="1" t="s">
        <v>12</v>
      </c>
      <c r="B24" s="14">
        <f>SUM(B12:B23)</f>
        <v>223881.53000000003</v>
      </c>
      <c r="C24" s="14">
        <f t="shared" ref="C24:M24" si="0">SUM(C12:C23)</f>
        <v>222177.02000000002</v>
      </c>
      <c r="D24" s="14">
        <f t="shared" si="0"/>
        <v>203111.69999999998</v>
      </c>
      <c r="E24" s="14">
        <f t="shared" si="0"/>
        <v>182439.19</v>
      </c>
      <c r="F24" s="14">
        <f t="shared" si="0"/>
        <v>182011.6</v>
      </c>
      <c r="G24" s="14">
        <f t="shared" si="0"/>
        <v>184058.45</v>
      </c>
      <c r="H24" s="14">
        <f t="shared" si="0"/>
        <v>203487.48</v>
      </c>
      <c r="I24" s="14">
        <f t="shared" si="0"/>
        <v>213859.12000000002</v>
      </c>
      <c r="J24" s="14">
        <f t="shared" si="0"/>
        <v>219528.87</v>
      </c>
      <c r="K24" s="14">
        <f t="shared" si="0"/>
        <v>221533.55</v>
      </c>
      <c r="L24" s="14">
        <f t="shared" si="0"/>
        <v>224260.19</v>
      </c>
      <c r="M24" s="14">
        <f t="shared" si="0"/>
        <v>228304.55</v>
      </c>
    </row>
    <row r="26" spans="1:13" ht="45" x14ac:dyDescent="0.25">
      <c r="A26" s="11" t="s">
        <v>64</v>
      </c>
      <c r="B26" s="10">
        <f>SUM(D24:M24)</f>
        <v>2062594.7000000002</v>
      </c>
    </row>
    <row r="27" spans="1:13" ht="60" x14ac:dyDescent="0.25">
      <c r="A27" s="11" t="s">
        <v>65</v>
      </c>
      <c r="B27" s="10">
        <f>E5-B26</f>
        <v>24905.299999999814</v>
      </c>
    </row>
  </sheetData>
  <mergeCells count="1">
    <mergeCell ref="B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D17" sqref="D17"/>
    </sheetView>
  </sheetViews>
  <sheetFormatPr baseColWidth="10" defaultRowHeight="15" x14ac:dyDescent="0.25"/>
  <cols>
    <col min="1" max="1" width="29.85546875" style="2" customWidth="1"/>
    <col min="2" max="2" width="14.28515625" style="2" bestFit="1" customWidth="1"/>
    <col min="3" max="3" width="11.42578125" style="2"/>
    <col min="4" max="4" width="20.42578125" style="2" customWidth="1"/>
    <col min="5" max="5" width="14.140625" style="2" customWidth="1"/>
    <col min="6" max="16384" width="11.42578125" style="2"/>
  </cols>
  <sheetData>
    <row r="1" spans="1:13" x14ac:dyDescent="0.25">
      <c r="A1" s="29" t="s">
        <v>55</v>
      </c>
    </row>
    <row r="2" spans="1:13" x14ac:dyDescent="0.25">
      <c r="A2" s="2" t="s">
        <v>56</v>
      </c>
    </row>
    <row r="4" spans="1:13" ht="30" x14ac:dyDescent="0.25">
      <c r="A4" s="18" t="s">
        <v>42</v>
      </c>
      <c r="B4" s="6" t="s">
        <v>13</v>
      </c>
      <c r="C4" s="17"/>
      <c r="D4" s="18" t="s">
        <v>44</v>
      </c>
      <c r="E4" s="6" t="s">
        <v>43</v>
      </c>
    </row>
    <row r="5" spans="1:13" ht="45" x14ac:dyDescent="0.25">
      <c r="A5" s="19" t="s">
        <v>58</v>
      </c>
      <c r="B5" s="7">
        <f>2570000</f>
        <v>2570000</v>
      </c>
      <c r="C5" s="17"/>
      <c r="D5" s="19" t="s">
        <v>59</v>
      </c>
      <c r="E5" s="7">
        <f>B6/12*10</f>
        <v>2145950</v>
      </c>
    </row>
    <row r="6" spans="1:13" ht="30" x14ac:dyDescent="0.25">
      <c r="A6" s="20" t="s">
        <v>60</v>
      </c>
      <c r="B6" s="7">
        <f>B5*1.002</f>
        <v>2575140</v>
      </c>
      <c r="C6" s="17"/>
      <c r="D6" s="20" t="s">
        <v>61</v>
      </c>
      <c r="E6" s="7">
        <f>B6/12</f>
        <v>214595</v>
      </c>
    </row>
    <row r="7" spans="1:13" x14ac:dyDescent="0.25">
      <c r="B7" s="9"/>
      <c r="C7" s="9"/>
      <c r="D7" s="9"/>
      <c r="E7" s="9"/>
    </row>
    <row r="8" spans="1:13" x14ac:dyDescent="0.25">
      <c r="A8" s="2" t="s">
        <v>62</v>
      </c>
      <c r="B8" s="9"/>
      <c r="C8" s="9"/>
    </row>
    <row r="9" spans="1:13" ht="15" customHeight="1" x14ac:dyDescent="0.25">
      <c r="A9" s="12"/>
      <c r="B9" s="31" t="s"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25">
      <c r="A10" s="13"/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32</v>
      </c>
      <c r="L10" s="1" t="s">
        <v>33</v>
      </c>
      <c r="M10" s="1" t="s">
        <v>34</v>
      </c>
    </row>
    <row r="11" spans="1:13" ht="30" x14ac:dyDescent="0.25">
      <c r="A11" s="1" t="s">
        <v>63</v>
      </c>
      <c r="B11" s="1" t="s">
        <v>10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1" t="s">
        <v>10</v>
      </c>
      <c r="L11" s="1" t="s">
        <v>10</v>
      </c>
      <c r="M11" s="1" t="s">
        <v>10</v>
      </c>
    </row>
    <row r="12" spans="1:13" x14ac:dyDescent="0.25">
      <c r="A12" s="1" t="s">
        <v>1</v>
      </c>
      <c r="B12" s="22">
        <v>202113.41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25">
      <c r="A13" s="1" t="s">
        <v>2</v>
      </c>
      <c r="B13" s="14">
        <v>829.23</v>
      </c>
      <c r="C13" s="22">
        <v>208752.2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1" t="s">
        <v>3</v>
      </c>
      <c r="B14" s="14">
        <v>0</v>
      </c>
      <c r="C14" s="14">
        <v>0</v>
      </c>
      <c r="D14" s="22">
        <v>159542.32999999999</v>
      </c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A15" s="1" t="s">
        <v>4</v>
      </c>
      <c r="B15" s="14">
        <v>0</v>
      </c>
      <c r="C15" s="14">
        <v>2591.5300000000002</v>
      </c>
      <c r="D15" s="14">
        <v>0</v>
      </c>
      <c r="E15" s="14">
        <v>165000</v>
      </c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22">
        <v>160250.35</v>
      </c>
      <c r="G16" s="14"/>
      <c r="H16" s="14"/>
      <c r="I16" s="14"/>
      <c r="J16" s="14"/>
      <c r="K16" s="14"/>
      <c r="L16" s="14"/>
      <c r="M16" s="14"/>
    </row>
    <row r="17" spans="1:13" x14ac:dyDescent="0.25">
      <c r="A17" s="1" t="s">
        <v>6</v>
      </c>
      <c r="B17" s="14">
        <v>0</v>
      </c>
      <c r="C17" s="14">
        <v>0</v>
      </c>
      <c r="D17" s="14">
        <v>1088.1300000000001</v>
      </c>
      <c r="E17" s="14">
        <v>5633</v>
      </c>
      <c r="F17" s="14">
        <v>0</v>
      </c>
      <c r="G17" s="14">
        <v>233365</v>
      </c>
      <c r="H17" s="14"/>
      <c r="I17" s="14"/>
      <c r="J17" s="14"/>
      <c r="K17" s="14"/>
      <c r="L17" s="14"/>
      <c r="M17" s="14"/>
    </row>
    <row r="18" spans="1:13" x14ac:dyDescent="0.25">
      <c r="A18" s="1" t="s">
        <v>7</v>
      </c>
      <c r="B18" s="14">
        <v>0</v>
      </c>
      <c r="C18" s="14">
        <v>0</v>
      </c>
      <c r="D18" s="22">
        <v>9828</v>
      </c>
      <c r="E18" s="14">
        <v>10253</v>
      </c>
      <c r="F18" s="14">
        <v>1868.28</v>
      </c>
      <c r="G18" s="14">
        <v>1275.3499999999999</v>
      </c>
      <c r="H18" s="14">
        <v>225572.91</v>
      </c>
      <c r="I18" s="14"/>
      <c r="J18" s="14"/>
      <c r="K18" s="14"/>
      <c r="L18" s="14"/>
      <c r="M18" s="14"/>
    </row>
    <row r="19" spans="1:13" x14ac:dyDescent="0.25">
      <c r="A19" s="1" t="s">
        <v>8</v>
      </c>
      <c r="B19" s="14">
        <v>0</v>
      </c>
      <c r="C19" s="14">
        <v>0</v>
      </c>
      <c r="D19" s="14">
        <v>0</v>
      </c>
      <c r="E19" s="14">
        <v>0</v>
      </c>
      <c r="F19" s="14">
        <v>5362</v>
      </c>
      <c r="G19" s="14">
        <v>3256</v>
      </c>
      <c r="H19" s="14">
        <v>0</v>
      </c>
      <c r="I19" s="14">
        <f>H18+2329</f>
        <v>227901.91</v>
      </c>
      <c r="J19" s="14"/>
      <c r="K19" s="14"/>
      <c r="L19" s="14"/>
      <c r="M19" s="14"/>
    </row>
    <row r="20" spans="1:13" x14ac:dyDescent="0.25">
      <c r="A20" s="1" t="s">
        <v>9</v>
      </c>
      <c r="B20" s="14">
        <v>0</v>
      </c>
      <c r="C20" s="14"/>
      <c r="D20" s="14">
        <v>0</v>
      </c>
      <c r="E20" s="14">
        <v>-24</v>
      </c>
      <c r="F20" s="14">
        <v>7425</v>
      </c>
      <c r="G20" s="14">
        <v>10678</v>
      </c>
      <c r="H20" s="14">
        <v>1546</v>
      </c>
      <c r="I20" s="14"/>
      <c r="J20" s="14">
        <v>248765</v>
      </c>
      <c r="K20" s="14"/>
      <c r="L20" s="14"/>
      <c r="M20" s="14"/>
    </row>
    <row r="21" spans="1:13" s="11" customFormat="1" x14ac:dyDescent="0.25">
      <c r="A21" s="1" t="s">
        <v>32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2097</v>
      </c>
      <c r="I21" s="14">
        <v>1567</v>
      </c>
      <c r="J21" s="14">
        <v>7322</v>
      </c>
      <c r="K21" s="14">
        <v>250175.55</v>
      </c>
      <c r="L21" s="14"/>
      <c r="M21" s="14"/>
    </row>
    <row r="22" spans="1:13" x14ac:dyDescent="0.25">
      <c r="A22" s="1" t="s">
        <v>33</v>
      </c>
      <c r="B22" s="14">
        <v>750</v>
      </c>
      <c r="C22" s="14">
        <v>0</v>
      </c>
      <c r="D22" s="14">
        <v>9377.3700000000008</v>
      </c>
      <c r="E22" s="14">
        <v>0</v>
      </c>
      <c r="F22" s="14">
        <v>0</v>
      </c>
      <c r="G22" s="14">
        <v>4450</v>
      </c>
      <c r="H22" s="14">
        <v>5877</v>
      </c>
      <c r="I22" s="14">
        <v>0</v>
      </c>
      <c r="J22" s="14">
        <v>0</v>
      </c>
      <c r="K22" s="14">
        <v>2387</v>
      </c>
      <c r="L22" s="14">
        <f>248495</f>
        <v>248495</v>
      </c>
      <c r="M22" s="14"/>
    </row>
    <row r="23" spans="1:13" x14ac:dyDescent="0.25">
      <c r="A23" s="1" t="s">
        <v>34</v>
      </c>
      <c r="B23" s="14">
        <v>0</v>
      </c>
      <c r="C23" s="14">
        <v>1119.6400000000001</v>
      </c>
      <c r="D23" s="14">
        <v>1446.9</v>
      </c>
      <c r="E23" s="14">
        <v>229.19</v>
      </c>
      <c r="F23" s="14">
        <v>7013.32</v>
      </c>
      <c r="G23" s="14">
        <v>1134.0999999999999</v>
      </c>
      <c r="H23" s="14">
        <v>0</v>
      </c>
      <c r="I23" s="14">
        <v>7629.76</v>
      </c>
      <c r="J23" s="14">
        <v>869.34</v>
      </c>
      <c r="K23" s="14">
        <v>971</v>
      </c>
      <c r="L23" s="14">
        <v>1834.64</v>
      </c>
      <c r="M23" s="14">
        <f>235070</f>
        <v>235070</v>
      </c>
    </row>
    <row r="24" spans="1:13" x14ac:dyDescent="0.25">
      <c r="A24" s="1" t="s">
        <v>12</v>
      </c>
      <c r="B24" s="14">
        <f>SUM(B12:B23)</f>
        <v>203692.64</v>
      </c>
      <c r="C24" s="14">
        <f t="shared" ref="C24:M24" si="0">SUM(C12:C23)</f>
        <v>212463.37000000002</v>
      </c>
      <c r="D24" s="14">
        <f t="shared" si="0"/>
        <v>181282.72999999998</v>
      </c>
      <c r="E24" s="14">
        <f t="shared" si="0"/>
        <v>181091.19</v>
      </c>
      <c r="F24" s="14">
        <f t="shared" si="0"/>
        <v>181918.95</v>
      </c>
      <c r="G24" s="14">
        <f t="shared" si="0"/>
        <v>254158.45</v>
      </c>
      <c r="H24" s="14">
        <f t="shared" si="0"/>
        <v>235092.91</v>
      </c>
      <c r="I24" s="14">
        <f t="shared" si="0"/>
        <v>237098.67</v>
      </c>
      <c r="J24" s="14">
        <f t="shared" si="0"/>
        <v>256956.34</v>
      </c>
      <c r="K24" s="14">
        <f t="shared" si="0"/>
        <v>253533.55</v>
      </c>
      <c r="L24" s="14">
        <f t="shared" si="0"/>
        <v>250329.64</v>
      </c>
      <c r="M24" s="14">
        <f t="shared" si="0"/>
        <v>235070</v>
      </c>
    </row>
    <row r="26" spans="1:13" ht="45" x14ac:dyDescent="0.25">
      <c r="A26" s="11" t="s">
        <v>64</v>
      </c>
      <c r="B26" s="10">
        <f>SUM(D24:M24)</f>
        <v>2266532.4300000002</v>
      </c>
    </row>
    <row r="27" spans="1:13" ht="60" x14ac:dyDescent="0.25">
      <c r="A27" s="11" t="s">
        <v>65</v>
      </c>
      <c r="B27" s="10">
        <f>E5-B26</f>
        <v>-120582.43000000017</v>
      </c>
    </row>
  </sheetData>
  <mergeCells count="1">
    <mergeCell ref="B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cas 1 ex DG</vt:lpstr>
      <vt:lpstr>cas 2 ex DG</vt:lpstr>
      <vt:lpstr>cas 1 ex OQN OQN</vt:lpstr>
      <vt:lpstr>cas 2 ex OQN OQN 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SAUVADET-CHOUVY</dc:creator>
  <cp:lastModifiedBy>Véronique SAUVADET-CHOUVY</cp:lastModifiedBy>
  <dcterms:created xsi:type="dcterms:W3CDTF">2020-04-23T12:52:43Z</dcterms:created>
  <dcterms:modified xsi:type="dcterms:W3CDTF">2020-05-19T20:21:41Z</dcterms:modified>
</cp:coreProperties>
</file>